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2017'!$A$1:$K$516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<sst xmlns="http://schemas.openxmlformats.org/spreadsheetml/2006/main" count="809" uniqueCount="403">
  <si>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</si>
  <si>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</si>
  <si>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</si>
  <si>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</si>
  <si>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</si>
  <si>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</si>
  <si>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</si>
  <si>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</si>
  <si>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</si>
  <si>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</si>
  <si>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</si>
  <si>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</si>
  <si>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</si>
  <si>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</si>
  <si>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</si>
  <si>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</si>
  <si>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</si>
  <si>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</si>
  <si>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</si>
  <si>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</si>
  <si>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</si>
  <si>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</si>
  <si>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</si>
  <si>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</si>
  <si>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</si>
  <si>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</si>
  <si>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</si>
  <si>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</si>
  <si>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</si>
  <si>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</si>
  <si>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</si>
  <si>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</si>
  <si>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</si>
  <si>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</si>
  <si>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</si>
  <si>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</si>
  <si>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</si>
  <si>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</si>
  <si>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</si>
  <si>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</si>
  <si>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</si>
  <si>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</si>
  <si>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</si>
  <si>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</si>
  <si>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</si>
  <si>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</si>
  <si>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</si>
  <si>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</si>
  <si>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</si>
  <si>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</si>
  <si>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</si>
  <si>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</si>
  <si>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</si>
  <si>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</si>
  <si>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</si>
  <si>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</si>
  <si>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</si>
  <si>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</si>
  <si>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</si>
  <si>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</si>
  <si>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</si>
  <si>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</si>
  <si>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</si>
  <si>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</si>
  <si>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</si>
  <si>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</si>
  <si>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</si>
  <si>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</si>
  <si>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</si>
  <si>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</si>
  <si>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</si>
  <si>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</si>
  <si>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</si>
  <si>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</si>
  <si>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</si>
  <si>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</si>
  <si>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</si>
  <si>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</si>
  <si>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</si>
  <si>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</si>
  <si>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</si>
  <si>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</si>
  <si>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</si>
  <si>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</si>
  <si>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</si>
  <si>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</si>
  <si>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</si>
  <si>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</si>
  <si>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</si>
  <si>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</si>
  <si>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</si>
  <si>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</si>
  <si>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</si>
  <si>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</si>
  <si>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</si>
  <si>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</si>
  <si>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</si>
  <si>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</si>
  <si>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</si>
  <si>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</si>
  <si>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</si>
  <si>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</si>
  <si>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</si>
  <si>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</si>
  <si>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</si>
  <si>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</si>
  <si>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</si>
  <si>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</si>
  <si>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</si>
  <si>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</si>
  <si>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</si>
  <si>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</si>
  <si>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</si>
  <si>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</si>
  <si>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</si>
  <si>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</si>
  <si>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</si>
  <si>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</si>
  <si>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</si>
  <si>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</si>
  <si>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</si>
  <si>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</si>
  <si>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</si>
  <si>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</si>
  <si>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</si>
  <si>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</si>
  <si>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</si>
  <si>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</si>
  <si>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</si>
  <si>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</si>
  <si>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</si>
  <si>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</si>
  <si>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</si>
  <si>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</si>
  <si>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</si>
  <si>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</si>
  <si>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</si>
  <si>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</si>
  <si>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</si>
  <si>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</si>
  <si>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</si>
  <si>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</si>
  <si>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</si>
  <si>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</si>
  <si>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</si>
  <si>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</si>
  <si>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</si>
  <si>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</si>
  <si>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</si>
  <si>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</si>
  <si>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</si>
  <si>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</si>
  <si>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</si>
  <si>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</si>
  <si>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</si>
  <si>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</si>
  <si>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</si>
  <si>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</si>
  <si>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</si>
  <si>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</si>
  <si>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</si>
  <si>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</si>
  <si>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</si>
  <si>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</si>
  <si>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</si>
  <si>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</si>
  <si>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</si>
  <si>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</si>
  <si>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</si>
  <si>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</si>
  <si>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</si>
  <si>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</si>
  <si>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</si>
  <si>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</si>
  <si>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</si>
  <si>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</si>
  <si>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</si>
  <si>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</si>
  <si>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</si>
  <si>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</si>
  <si>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</si>
  <si>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</si>
  <si>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</si>
  <si>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</si>
  <si>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</si>
  <si>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</si>
  <si>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</si>
  <si>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</si>
  <si>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</si>
  <si>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</si>
  <si>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</si>
  <si>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</si>
  <si>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</si>
  <si>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</si>
  <si>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</si>
  <si>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</si>
  <si>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</si>
  <si>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</si>
  <si>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</si>
  <si>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</si>
  <si>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</si>
  <si>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</si>
  <si>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</si>
  <si>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</si>
  <si>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</si>
  <si>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</si>
  <si>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</si>
  <si>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</si>
  <si>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</si>
  <si>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</si>
  <si>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</si>
  <si>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</si>
  <si>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</si>
  <si>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</si>
  <si>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</si>
  <si>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</si>
  <si>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</si>
  <si>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</si>
  <si>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</si>
  <si>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</si>
  <si>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</si>
  <si>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</si>
  <si>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</si>
  <si>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</si>
  <si>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</si>
  <si>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</si>
  <si>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</si>
  <si>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</si>
  <si>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</si>
  <si>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</si>
  <si>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</si>
  <si>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</si>
  <si>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</si>
  <si>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</si>
  <si>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</si>
  <si>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</si>
  <si>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</si>
  <si>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</si>
  <si>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</si>
  <si>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</si>
  <si>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</si>
  <si>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</si>
  <si>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</si>
  <si>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</si>
  <si>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</si>
  <si>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</si>
  <si>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</si>
  <si>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</si>
  <si>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</si>
  <si>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</si>
  <si>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</si>
  <si>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</si>
  <si>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</si>
  <si>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</si>
  <si>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</si>
  <si>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</si>
  <si>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</si>
  <si>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</si>
  <si>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</si>
  <si>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</si>
  <si>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</si>
  <si>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</si>
  <si>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</si>
  <si>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</si>
  <si>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</si>
  <si>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</si>
  <si>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</si>
  <si>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</si>
  <si>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</si>
  <si>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</si>
  <si>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</si>
  <si>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</si>
  <si>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</si>
  <si>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</si>
  <si>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</si>
  <si>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</si>
  <si>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</si>
  <si>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</si>
  <si>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</si>
  <si>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</si>
  <si>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</si>
  <si>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</si>
  <si>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</si>
  <si>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</si>
  <si>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</si>
  <si>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</si>
  <si>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</si>
  <si>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</si>
  <si>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</si>
  <si>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</si>
  <si>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</si>
  <si>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</si>
  <si>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</si>
  <si>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</si>
  <si>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</si>
  <si>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</si>
  <si>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</si>
  <si>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</si>
  <si>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</si>
  <si>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</si>
  <si>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</si>
  <si>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</si>
  <si>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</si>
  <si>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</si>
  <si>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</si>
  <si>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</si>
  <si>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</si>
  <si>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</si>
  <si>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</si>
  <si>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</si>
  <si>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</si>
  <si>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</si>
  <si>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</si>
  <si>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</si>
  <si>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</si>
  <si>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</si>
  <si>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</si>
  <si>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</si>
  <si>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</si>
  <si>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</si>
  <si>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</si>
  <si>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</si>
  <si>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</si>
  <si>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</si>
  <si>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</si>
  <si>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</si>
  <si>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</si>
  <si>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</si>
  <si>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</si>
  <si>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</si>
  <si>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</si>
  <si>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</si>
  <si>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</si>
  <si>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</si>
  <si>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</si>
  <si>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</si>
  <si>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</si>
  <si>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</si>
  <si>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</si>
  <si>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</si>
  <si>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</si>
  <si>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</si>
  <si>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</si>
  <si>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</si>
  <si>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</si>
  <si>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</si>
  <si>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</si>
  <si>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</si>
  <si>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</si>
  <si>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</si>
  <si>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</si>
  <si>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</si>
  <si>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</si>
  <si>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</si>
  <si>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</si>
  <si>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</si>
  <si>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</si>
  <si>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</si>
  <si>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</si>
  <si>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</si>
  <si>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</si>
  <si>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</si>
  <si>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</si>
  <si>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</si>
  <si>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</si>
  <si>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</si>
  <si>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</si>
  <si>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</si>
  <si>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</si>
  <si>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</si>
  <si>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</si>
  <si>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</si>
  <si>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</si>
  <si>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</si>
  <si>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</si>
  <si>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</si>
  <si>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</si>
  <si>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</si>
  <si>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</si>
  <si>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</si>
  <si>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</si>
  <si>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</si>
  <si>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</si>
  <si>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</si>
  <si>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</si>
  <si>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</si>
  <si>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</si>
  <si>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</si>
  <si>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</si>
  <si>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</si>
  <si>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</si>
  <si>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</si>
  <si>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</si>
  <si>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</si>
  <si>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</si>
  <si>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</si>
  <si>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</si>
  <si>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</si>
  <si>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</si>
  <si>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*</t>
  </si>
  <si>
    <t>de realizado este Reporte los Estados Bancarios no se habian Recibido</t>
  </si>
  <si>
    <t>Estos datos son preliminares ya, que ha la fecha (02.06.2017)</t>
  </si>
  <si>
    <t>AL 31 DE OCTUBRE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</si>
</sst>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mbria"/>
      <family val="1"/>
    </font>
    <font>
      <b/>
      <sz val="10"/>
      <color rgb="FF00206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61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62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3"/>
    </xf>
    <xf numFmtId="0" fontId="61" fillId="34" borderId="11" xfId="56" applyFont="1" applyFill="1" applyBorder="1">
      <alignment/>
      <protection/>
    </xf>
    <xf numFmtId="0" fontId="61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1" fillId="34" borderId="0" xfId="56" applyFont="1" applyFill="1" applyBorder="1" applyAlignment="1">
      <alignment horizontal="left" indent="3"/>
      <protection/>
    </xf>
    <xf numFmtId="0" fontId="61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1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1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4" fillId="35" borderId="12" xfId="0" applyFont="1" applyFill="1" applyBorder="1" applyAlignment="1" applyProtection="1">
      <alignment horizontal="left"/>
      <protection locked="0"/>
    </xf>
    <xf numFmtId="0" fontId="65" fillId="35" borderId="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7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7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7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6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7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8" fillId="8" borderId="14" xfId="54" applyFont="1" applyFill="1" applyBorder="1" applyAlignment="1" applyProtection="1">
      <alignment/>
      <protection/>
    </xf>
    <xf numFmtId="0" fontId="68" fillId="8" borderId="14" xfId="54" applyFont="1" applyFill="1" applyBorder="1" applyAlignment="1" applyProtection="1">
      <alignment horizontal="center"/>
      <protection/>
    </xf>
    <xf numFmtId="0" fontId="68" fillId="8" borderId="14" xfId="54" applyFont="1" applyFill="1" applyBorder="1" applyAlignment="1" applyProtection="1">
      <alignment horizontal="center" vertical="top"/>
      <protection/>
    </xf>
    <xf numFmtId="0" fontId="68" fillId="8" borderId="14" xfId="0" applyFont="1" applyFill="1" applyBorder="1" applyAlignment="1" applyProtection="1">
      <alignment/>
      <protection/>
    </xf>
    <xf numFmtId="0" fontId="68" fillId="2" borderId="14" xfId="54" applyFont="1" applyFill="1" applyBorder="1" applyAlignment="1" applyProtection="1">
      <alignment vertical="top"/>
      <protection/>
    </xf>
    <xf numFmtId="0" fontId="68" fillId="2" borderId="14" xfId="54" applyFont="1" applyFill="1" applyBorder="1" applyAlignment="1" applyProtection="1">
      <alignment horizontal="center" vertical="top"/>
      <protection/>
    </xf>
    <xf numFmtId="0" fontId="68" fillId="2" borderId="14" xfId="0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9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horizontal="center" vertical="top"/>
      <protection/>
    </xf>
    <xf numFmtId="0" fontId="69" fillId="36" borderId="14" xfId="0" applyFont="1" applyFill="1" applyBorder="1" applyAlignment="1" applyProtection="1">
      <alignment vertical="top" wrapText="1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9" fillId="36" borderId="14" xfId="54" applyFont="1" applyFill="1" applyBorder="1" applyAlignment="1" applyProtection="1">
      <alignment vertical="top"/>
      <protection locked="0"/>
    </xf>
    <xf numFmtId="0" fontId="69" fillId="36" borderId="14" xfId="54" applyFont="1" applyFill="1" applyBorder="1" applyAlignment="1" applyProtection="1">
      <alignment horizontal="center" vertical="top"/>
      <protection locked="0"/>
    </xf>
    <xf numFmtId="0" fontId="69" fillId="36" borderId="14" xfId="0" applyFont="1" applyFill="1" applyBorder="1" applyAlignment="1" applyProtection="1">
      <alignment vertical="top" wrapText="1"/>
      <protection locked="0"/>
    </xf>
    <xf numFmtId="0" fontId="68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65" fillId="35" borderId="0" xfId="48" applyFont="1" applyFill="1" applyBorder="1" applyAlignment="1">
      <alignment/>
    </xf>
    <xf numFmtId="43" fontId="70" fillId="33" borderId="0" xfId="48" applyFont="1" applyFill="1" applyBorder="1" applyAlignment="1" applyProtection="1">
      <alignment/>
      <protection locked="0"/>
    </xf>
    <xf numFmtId="43" fontId="70" fillId="33" borderId="17" xfId="48" applyFont="1" applyFill="1" applyBorder="1" applyAlignment="1" applyProtection="1">
      <alignment/>
      <protection locked="0"/>
    </xf>
    <xf numFmtId="43" fontId="71" fillId="38" borderId="18" xfId="48" applyFont="1" applyFill="1" applyBorder="1" applyAlignment="1">
      <alignment/>
    </xf>
    <xf numFmtId="190" fontId="61" fillId="0" borderId="0" xfId="56" applyNumberFormat="1" applyFont="1">
      <alignment/>
      <protection/>
    </xf>
    <xf numFmtId="0" fontId="63" fillId="34" borderId="11" xfId="0" applyFont="1" applyFill="1" applyBorder="1" applyAlignment="1">
      <alignment horizontal="right"/>
    </xf>
    <xf numFmtId="0" fontId="63" fillId="34" borderId="19" xfId="0" applyFont="1" applyFill="1" applyBorder="1" applyAlignment="1">
      <alignment horizontal="right"/>
    </xf>
    <xf numFmtId="0" fontId="39" fillId="38" borderId="15" xfId="55" applyFont="1" applyFill="1" applyBorder="1" applyAlignment="1">
      <alignment horizontal="center" vertical="center" wrapText="1"/>
      <protection/>
    </xf>
    <xf numFmtId="0" fontId="39" fillId="38" borderId="20" xfId="55" applyFont="1" applyFill="1" applyBorder="1" applyAlignment="1">
      <alignment horizontal="center" vertical="center" wrapText="1"/>
      <protection/>
    </xf>
    <xf numFmtId="0" fontId="40" fillId="38" borderId="21" xfId="0" applyFont="1" applyFill="1" applyBorder="1" applyAlignment="1">
      <alignment horizontal="center" vertical="center" wrapText="1"/>
    </xf>
    <xf numFmtId="0" fontId="39" fillId="38" borderId="21" xfId="55" applyFont="1" applyFill="1" applyBorder="1" applyAlignment="1">
      <alignment horizontal="center" textRotation="90"/>
      <protection/>
    </xf>
    <xf numFmtId="0" fontId="39" fillId="38" borderId="15" xfId="55" applyFont="1" applyFill="1" applyBorder="1" applyAlignment="1">
      <alignment horizontal="center" vertical="center"/>
      <protection/>
    </xf>
    <xf numFmtId="0" fontId="39" fillId="38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5</xdr:col>
      <xdr:colOff>495300</xdr:colOff>
      <xdr:row>4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0"/>
  <sheetViews>
    <sheetView tabSelected="1" zoomScalePageLayoutView="0" workbookViewId="0" topLeftCell="A1">
      <selection activeCell="A1" sqref="A1:K337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6" t="s">
        <v>396</v>
      </c>
      <c r="K1" s="127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1">
        <v>27089569.77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16402245.05</v>
      </c>
      <c r="H11" s="77" t="s">
        <v>399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2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3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4">
        <f>SUM(G9:G14)</f>
        <v>66508232.82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31" t="s">
        <v>38</v>
      </c>
      <c r="B17" s="131" t="s">
        <v>32</v>
      </c>
      <c r="C17" s="131" t="s">
        <v>1</v>
      </c>
      <c r="D17" s="131" t="s">
        <v>33</v>
      </c>
      <c r="E17" s="131" t="s">
        <v>4</v>
      </c>
      <c r="F17" s="132" t="s">
        <v>36</v>
      </c>
      <c r="G17" s="130" t="s">
        <v>34</v>
      </c>
      <c r="H17" s="130" t="s">
        <v>19</v>
      </c>
      <c r="I17" s="130" t="s">
        <v>18</v>
      </c>
      <c r="J17" s="128" t="s">
        <v>288</v>
      </c>
      <c r="K17" s="128" t="s">
        <v>3</v>
      </c>
    </row>
    <row r="18" spans="1:11" ht="44.25" customHeight="1">
      <c r="A18" s="131"/>
      <c r="B18" s="131"/>
      <c r="C18" s="131"/>
      <c r="D18" s="131"/>
      <c r="E18" s="131"/>
      <c r="F18" s="133"/>
      <c r="G18" s="130"/>
      <c r="H18" s="130"/>
      <c r="I18" s="130"/>
      <c r="J18" s="129"/>
      <c r="K18" s="129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23010634.699999996</v>
      </c>
      <c r="H19" s="61">
        <f>+H20+H88+H219+H338+H396+H403+H486</f>
        <v>15467468.630000003</v>
      </c>
      <c r="I19" s="61">
        <f>+I20+I88+I219+I338+I396+I403+I486</f>
        <v>0</v>
      </c>
      <c r="J19" s="61">
        <f>+J20+J88+J219+J338+J396+J403+J486</f>
        <v>38478103.33</v>
      </c>
      <c r="K19" s="90">
        <f>+K20+K88+K219+K338+K396+K403+K486</f>
        <v>99.99883050368638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23010634.699999996</v>
      </c>
      <c r="H20" s="70">
        <f>+H21+H48+H64+H71+H79</f>
        <v>5706225.9</v>
      </c>
      <c r="I20" s="70">
        <f>+I21+I48+I64+I71+I79</f>
        <v>0</v>
      </c>
      <c r="J20" s="70">
        <f>+J21+J48+J64+J71+J79</f>
        <v>28722110.6</v>
      </c>
      <c r="K20" s="91">
        <f>+K21+K48+K64+K71+K79</f>
        <v>74.63169469065409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19946121.589999996</v>
      </c>
      <c r="H21" s="63">
        <f>+H22+H29+H37+H39+H41+H46</f>
        <v>5120516.4</v>
      </c>
      <c r="I21" s="63">
        <f>+I22+I29+I37+I39+I41+I46</f>
        <v>0</v>
      </c>
      <c r="J21" s="63">
        <f>+J22+J29+J37+J39+J41+J46+J147</f>
        <v>25071887.990000002</v>
      </c>
      <c r="K21" s="92">
        <f>+K22+K29+K37+K39+K41+K46</f>
        <v>65.14520160991522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8931027.969999999</v>
      </c>
      <c r="H22" s="57">
        <f>SUM(H23:H28)</f>
        <v>476491.19000000006</v>
      </c>
      <c r="I22" s="57">
        <f>SUM(I23:I28)</f>
        <v>0</v>
      </c>
      <c r="J22" s="57">
        <f>SUM(J23:J28)</f>
        <v>9407519.16</v>
      </c>
      <c r="K22" s="93">
        <f>SUM(K23:K28)</f>
        <v>24.44901995121286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1653438.79</v>
      </c>
      <c r="H23" s="36">
        <v>371727.53</v>
      </c>
      <c r="I23" s="36"/>
      <c r="J23" s="36">
        <f aca="true" t="shared" si="0" ref="J23:J28">SUBTOTAL(9,G23:I23)</f>
        <v>2025166.32</v>
      </c>
      <c r="K23" s="83">
        <f>_xlfn.IFERROR(J23/$J$19*100,"0.00")</f>
        <v>5.2631656571831344</v>
      </c>
    </row>
    <row r="24" spans="1:11" ht="14.25" customHeight="1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7277589.18</v>
      </c>
      <c r="H24" s="36">
        <v>104763.66</v>
      </c>
      <c r="I24" s="36"/>
      <c r="J24" s="36">
        <f t="shared" si="0"/>
        <v>7382352.84</v>
      </c>
      <c r="K24" s="83">
        <f>_xlfn.IFERROR(J24/$J$19*100,"0.00")</f>
        <v>19.185854294029728</v>
      </c>
    </row>
    <row r="25" spans="1:11" ht="12.75" hidden="1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5.75" hidden="1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 t="shared" si="0"/>
        <v>0</v>
      </c>
      <c r="K26" s="83">
        <f>_xlfn.IFERROR(J26/$J$19*100,"0.00")</f>
        <v>0</v>
      </c>
    </row>
    <row r="27" spans="1:11" ht="12.75" hidden="1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>+I27+H27</f>
        <v>0</v>
      </c>
      <c r="K27" s="83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11015093.62</v>
      </c>
      <c r="H29" s="57">
        <f>SUM(H30:H36)</f>
        <v>4485298.63</v>
      </c>
      <c r="I29" s="57">
        <f>SUM(I30:I36)</f>
        <v>0</v>
      </c>
      <c r="J29" s="57">
        <f>SUM(J30:J36)</f>
        <v>15500392.25</v>
      </c>
      <c r="K29" s="93">
        <f>SUM(K30:K36)</f>
        <v>40.28367021384575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11015093.62</v>
      </c>
      <c r="H30" s="36">
        <f>2736386.58+598800</f>
        <v>3335186.58</v>
      </c>
      <c r="I30" s="36"/>
      <c r="J30" s="36">
        <f aca="true" t="shared" si="1" ref="J30:J36">SUBTOTAL(9,G30:I30)</f>
        <v>14350280.2</v>
      </c>
      <c r="K30" s="83">
        <f>_xlfn.IFERROR(J30/$J$19*100,"0.00")</f>
        <v>37.29466620775874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1"/>
        <v>0</v>
      </c>
      <c r="K31" s="83">
        <f>_xlfn.IFERROR(J31/$J$19*100,"0.00")</f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83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1150112.05</v>
      </c>
      <c r="I34" s="36"/>
      <c r="J34" s="36">
        <f t="shared" si="1"/>
        <v>1150112.05</v>
      </c>
      <c r="K34" s="83">
        <f>_xlfn.IFERROR(J34/$J$19*100,"0.00")</f>
        <v>2.9890040060870127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21241.46</v>
      </c>
      <c r="I39" s="57">
        <f>I40</f>
        <v>0</v>
      </c>
      <c r="J39" s="57">
        <f>J40</f>
        <v>21241.46</v>
      </c>
      <c r="K39" s="93">
        <f>K40</f>
        <v>0.05520402036926491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>
        <v>21241.46</v>
      </c>
      <c r="I40" s="36"/>
      <c r="J40" s="36">
        <f>SUBTOTAL(9,G40:I40)</f>
        <v>21241.46</v>
      </c>
      <c r="K40" s="83">
        <f>_xlfn.IFERROR(J40/$J$19*100,"0.00")</f>
        <v>0.05520402036926491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137485.12</v>
      </c>
      <c r="I46" s="57">
        <f>I47</f>
        <v>0</v>
      </c>
      <c r="J46" s="57">
        <f>J47</f>
        <v>137485.12</v>
      </c>
      <c r="K46" s="93">
        <f>K47</f>
        <v>0.35730742448733893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137485.12</v>
      </c>
      <c r="I47" s="36"/>
      <c r="J47" s="36">
        <f>SUBTOTAL(9,G47:I47)</f>
        <v>137485.12</v>
      </c>
      <c r="K47" s="83">
        <f>_xlfn.IFERROR(J47/$J$19*100,"0.00")</f>
        <v>0.35730742448733893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585709.5</v>
      </c>
      <c r="I48" s="63">
        <f>+I49+I51+I62</f>
        <v>0</v>
      </c>
      <c r="J48" s="63">
        <f>+J49+J51+J62</f>
        <v>585709.5</v>
      </c>
      <c r="K48" s="92">
        <f>+K49+K51+K62</f>
        <v>1.5221891135765604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585709.5</v>
      </c>
      <c r="I51" s="57">
        <f>SUM(I52:I61)</f>
        <v>0</v>
      </c>
      <c r="J51" s="57">
        <f>SUM(J52:J61)</f>
        <v>585709.5</v>
      </c>
      <c r="K51" s="93">
        <f>SUM(K52:K61)</f>
        <v>1.5221891135765604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180999.5</v>
      </c>
      <c r="I56" s="36"/>
      <c r="J56" s="36">
        <f t="shared" si="2"/>
        <v>180999.5</v>
      </c>
      <c r="K56" s="83">
        <f>_xlfn.IFERROR(J56/$J$19*100,"0.00")</f>
        <v>0.47039610670955595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404710</v>
      </c>
      <c r="I59" s="36"/>
      <c r="J59" s="36">
        <f t="shared" si="2"/>
        <v>404710</v>
      </c>
      <c r="K59" s="83">
        <f>_xlfn.IFERROR(J59/$J$19*100,"0.00")</f>
        <v>1.0517930068670045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3064513.11</v>
      </c>
      <c r="H79" s="63">
        <f>H80+H82+H84+H86</f>
        <v>0</v>
      </c>
      <c r="I79" s="63">
        <f>I80+I82+I84+I86</f>
        <v>0</v>
      </c>
      <c r="J79" s="63">
        <f>J80+J82+J84+J86</f>
        <v>3064513.11</v>
      </c>
      <c r="K79" s="92">
        <f>K80+K82+K84+K86</f>
        <v>7.964303967162302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1414171.26</v>
      </c>
      <c r="H80" s="57">
        <f>H81</f>
        <v>0</v>
      </c>
      <c r="I80" s="57">
        <f>I81</f>
        <v>0</v>
      </c>
      <c r="J80" s="57">
        <f>J81</f>
        <v>1414171.26</v>
      </c>
      <c r="K80" s="93">
        <f>K81</f>
        <v>3.6752623898107304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1414171.26</v>
      </c>
      <c r="H81" s="36"/>
      <c r="I81" s="36"/>
      <c r="J81" s="36">
        <f>SUBTOTAL(9,G81:I81)</f>
        <v>1414171.26</v>
      </c>
      <c r="K81" s="83">
        <f>_xlfn.IFERROR(J81/$J$19*100,"0.00")</f>
        <v>3.6752623898107304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1416174.8</v>
      </c>
      <c r="H82" s="57">
        <f>H83</f>
        <v>0</v>
      </c>
      <c r="I82" s="57">
        <f>I83</f>
        <v>0</v>
      </c>
      <c r="J82" s="57">
        <f>J83</f>
        <v>1416174.8</v>
      </c>
      <c r="K82" s="93">
        <f>K83</f>
        <v>3.6804693512423188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1416174.8</v>
      </c>
      <c r="H83" s="36"/>
      <c r="I83" s="36"/>
      <c r="J83" s="36">
        <f>SUBTOTAL(9,G83:I83)</f>
        <v>1416174.8</v>
      </c>
      <c r="K83" s="83">
        <f>_xlfn.IFERROR(J83/$J$19*100,"0.00")</f>
        <v>3.6804693512423188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234167.05</v>
      </c>
      <c r="H84" s="57">
        <f>H85</f>
        <v>0</v>
      </c>
      <c r="I84" s="57">
        <f>I85</f>
        <v>0</v>
      </c>
      <c r="J84" s="57">
        <f>J85</f>
        <v>234167.05</v>
      </c>
      <c r="K84" s="93">
        <f>K85</f>
        <v>0.608572226109254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234167.05</v>
      </c>
      <c r="H85" s="36"/>
      <c r="I85" s="36"/>
      <c r="J85" s="36">
        <f>SUBTOTAL(9,G85:I85)</f>
        <v>234167.05</v>
      </c>
      <c r="K85" s="83">
        <f>_xlfn.IFERROR(J85/$J$19*100,"0.00")</f>
        <v>0.608572226109254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1180466.9</v>
      </c>
      <c r="I88" s="70">
        <f>+I89+I107+I112+I117+I126+I147+I166+I184</f>
        <v>0</v>
      </c>
      <c r="J88" s="70">
        <f>+J89+J107+J112+J117+J126+J166+J184</f>
        <v>1175216.9</v>
      </c>
      <c r="K88" s="91">
        <f>+K89+K107+K112+K117+K126+K147+K166+K184</f>
        <v>3.067892639811153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229986.69</v>
      </c>
      <c r="I89" s="63">
        <f>+I90+I92+I94+I96+I98+I100+I103+I105</f>
        <v>0</v>
      </c>
      <c r="J89" s="63">
        <f>+J90+J92+J94+J96+J98+J100+J103+J105</f>
        <v>229986.69</v>
      </c>
      <c r="K89" s="92">
        <f>+K90+K92+K94+K96+K98+K100+K103+K105</f>
        <v>0.5977079691989071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139038.72</v>
      </c>
      <c r="I94" s="57">
        <f>I95</f>
        <v>0</v>
      </c>
      <c r="J94" s="57">
        <f>J95</f>
        <v>139038.72</v>
      </c>
      <c r="K94" s="93">
        <f>K95</f>
        <v>0.3613450455381373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139038.72</v>
      </c>
      <c r="I95" s="36"/>
      <c r="J95" s="36">
        <f>SUBTOTAL(9,G95:I95)</f>
        <v>139038.72</v>
      </c>
      <c r="K95" s="83">
        <f>_xlfn.IFERROR(J95/$J$19*100,"0.00")</f>
        <v>0.3613450455381373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90947.97</v>
      </c>
      <c r="I98" s="57">
        <f>I99</f>
        <v>0</v>
      </c>
      <c r="J98" s="57">
        <f>J99</f>
        <v>90947.97</v>
      </c>
      <c r="K98" s="93">
        <f>K99</f>
        <v>0.23636292366076977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90947.97</v>
      </c>
      <c r="I99" s="36"/>
      <c r="J99" s="36">
        <f>SUBTOTAL(9,G99:I99)</f>
        <v>90947.97</v>
      </c>
      <c r="K99" s="83">
        <f>_xlfn.IFERROR(J99/$J$19*100,"0.00")</f>
        <v>0.23636292366076977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287164</v>
      </c>
      <c r="I107" s="63">
        <f>+I108+I110</f>
        <v>0</v>
      </c>
      <c r="J107" s="63">
        <f>+J108+J110</f>
        <v>287164</v>
      </c>
      <c r="K107" s="92">
        <f>+K108+K110</f>
        <v>0.7463049764620506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35400</v>
      </c>
      <c r="I108" s="57">
        <f>I109</f>
        <v>0</v>
      </c>
      <c r="J108" s="57">
        <f>J109</f>
        <v>35400</v>
      </c>
      <c r="K108" s="93">
        <f>K109</f>
        <v>0.09200037667241226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>
        <v>35400</v>
      </c>
      <c r="I109" s="36"/>
      <c r="J109" s="36">
        <f>SUBTOTAL(9,G109:I109)</f>
        <v>35400</v>
      </c>
      <c r="K109" s="83">
        <f>_xlfn.IFERROR(J109/$J$19*100,"0.00")</f>
        <v>0.09200037667241226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251764</v>
      </c>
      <c r="I110" s="57">
        <f>I111</f>
        <v>0</v>
      </c>
      <c r="J110" s="57">
        <f>J111</f>
        <v>251764</v>
      </c>
      <c r="K110" s="93">
        <f>K111</f>
        <v>0.6543045997896384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251764</v>
      </c>
      <c r="I111" s="36"/>
      <c r="J111" s="36">
        <f>SUBTOTAL(9,G111:I111)</f>
        <v>251764</v>
      </c>
      <c r="K111" s="83">
        <f>_xlfn.IFERROR(J111/$J$19*100,"0.00")</f>
        <v>0.6543045997896384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89451.09</v>
      </c>
      <c r="I126" s="63">
        <f>+I127+I129+I131+I137+I139+I141+I143+I145</f>
        <v>0</v>
      </c>
      <c r="J126" s="63">
        <f>+J127+J129+J131+J137+J139+J141+J143+J145</f>
        <v>89451.09</v>
      </c>
      <c r="K126" s="92">
        <f>+K127+K129+K131+K137+K139+K141+K143+K145</f>
        <v>0.23247271112310305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89451.09</v>
      </c>
      <c r="I131" s="57">
        <f>SUM(I132:I136)</f>
        <v>0</v>
      </c>
      <c r="J131" s="57">
        <f>SUM(J132:J136)</f>
        <v>89451.09</v>
      </c>
      <c r="K131" s="93">
        <f>SUM(K132:K136)</f>
        <v>0.23247271112310305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81119.83</v>
      </c>
      <c r="I135" s="36"/>
      <c r="J135" s="36">
        <f>SUBTOTAL(9,G135:I135)</f>
        <v>81119.83</v>
      </c>
      <c r="K135" s="83">
        <f>_xlfn.IFERROR(J135/$J$19*100,"0.00")</f>
        <v>0.21082076032774144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>
        <v>8331.26</v>
      </c>
      <c r="I136" s="36"/>
      <c r="J136" s="36">
        <f>SUBTOTAL(9,G136:I136)</f>
        <v>8331.26</v>
      </c>
      <c r="K136" s="83">
        <f>_xlfn.IFERROR(J136/$J$19*100,"0.00")</f>
        <v>0.02165195079536162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5250</v>
      </c>
      <c r="I147" s="63">
        <f>+I148+I150+I152+I154+I156+I158+I160+I162+I164</f>
        <v>0</v>
      </c>
      <c r="J147" s="63">
        <f>+J148+J150+J152+J154+J156+J158+J160+J162+J164</f>
        <v>5250</v>
      </c>
      <c r="K147" s="92">
        <f>+K148+K150+K152+K154+K156+K158+K160+K162+K164</f>
        <v>0.01364412365904419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5250</v>
      </c>
      <c r="I152" s="57">
        <f>I153</f>
        <v>0</v>
      </c>
      <c r="J152" s="57">
        <f>J153</f>
        <v>5250</v>
      </c>
      <c r="K152" s="93">
        <f>K153</f>
        <v>0.01364412365904419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5250</v>
      </c>
      <c r="I153" s="36"/>
      <c r="J153" s="36">
        <f>SUBTOTAL(9,G153:I153)</f>
        <v>5250</v>
      </c>
      <c r="K153" s="83">
        <f>_xlfn.IFERROR(J153/$J$19*100,"0.00")</f>
        <v>0.01364412365904419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371423.12</v>
      </c>
      <c r="I166" s="63">
        <f>+I167+I175+I182</f>
        <v>0</v>
      </c>
      <c r="J166" s="63">
        <f>+J167+J175+J182</f>
        <v>371423.12</v>
      </c>
      <c r="K166" s="92">
        <f>+K167+K175+K182</f>
        <v>0.9652843769729542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259900</v>
      </c>
      <c r="I167" s="57">
        <f>SUM(I168:I174)</f>
        <v>0</v>
      </c>
      <c r="J167" s="57">
        <f>SUM(J168:J174)</f>
        <v>259900</v>
      </c>
      <c r="K167" s="93">
        <f>SUM(K168:K174)</f>
        <v>0.6754490931401115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259900</v>
      </c>
      <c r="I169" s="36"/>
      <c r="J169" s="36">
        <f t="shared" si="3"/>
        <v>259900</v>
      </c>
      <c r="K169" s="83">
        <f>_xlfn.IFERROR(J169/$J$19*100,"0.00")</f>
        <v>0.6754490931401115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111523.12</v>
      </c>
      <c r="I175" s="57">
        <f>SUM(I176:I181)</f>
        <v>0</v>
      </c>
      <c r="J175" s="57">
        <f>SUM(J176:J181)</f>
        <v>111523.12</v>
      </c>
      <c r="K175" s="93">
        <f>SUM(K176:K181)</f>
        <v>0.28983528383284274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>
        <v>2736.42</v>
      </c>
      <c r="I178" s="36"/>
      <c r="J178" s="36">
        <f t="shared" si="4"/>
        <v>2736.42</v>
      </c>
      <c r="K178" s="83">
        <f>_xlfn.IFERROR(J178/$J$19*100,"0.00")</f>
        <v>0.0071116291167774666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>
        <v>7910</v>
      </c>
      <c r="I179" s="36"/>
      <c r="J179" s="36">
        <f t="shared" si="4"/>
        <v>7910</v>
      </c>
      <c r="K179" s="83">
        <f>_xlfn.IFERROR(J179/$J$19*100,"0.00")</f>
        <v>0.020557146312959913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12936.7</v>
      </c>
      <c r="I180" s="88"/>
      <c r="J180" s="88">
        <f t="shared" si="4"/>
        <v>12936.7</v>
      </c>
      <c r="K180" s="89">
        <f>_xlfn.IFERROR(J180/$J$19*100,"0.00")</f>
        <v>0.033620939912372756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87940</v>
      </c>
      <c r="I181" s="36">
        <v>0</v>
      </c>
      <c r="J181" s="36">
        <f t="shared" si="4"/>
        <v>87940</v>
      </c>
      <c r="K181" s="83">
        <f>_xlfn.IFERROR(J181/$J$19*100,"0.00")</f>
        <v>0.22854556849073257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197192</v>
      </c>
      <c r="I184" s="63">
        <f>+I185+I187+I189+I191+I193+I197+I202+I209+I213</f>
        <v>0</v>
      </c>
      <c r="J184" s="63">
        <f>+J185+J187+J189+J191+J193+J197+J202+J209+J213</f>
        <v>197192</v>
      </c>
      <c r="K184" s="92">
        <f>+K185+K187+K189+K191+K193+K197+K202+K209+K213</f>
        <v>0.5124784823950936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157192</v>
      </c>
      <c r="I193" s="57">
        <f>SUM(I194:I196)</f>
        <v>0</v>
      </c>
      <c r="J193" s="57">
        <f>SUM(J194:J196)</f>
        <v>157192</v>
      </c>
      <c r="K193" s="93">
        <f>SUM(K194:K196)</f>
        <v>0.40852325451666177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>
        <v>157192</v>
      </c>
      <c r="I194" s="36"/>
      <c r="J194" s="36">
        <f>SUBTOTAL(9,G194:I194)</f>
        <v>157192</v>
      </c>
      <c r="K194" s="83">
        <f>_xlfn.IFERROR(J194/$J$19*100,"0.00")</f>
        <v>0.40852325451666177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40000</v>
      </c>
      <c r="I202" s="57">
        <f>SUM(I203:I208)</f>
        <v>0</v>
      </c>
      <c r="J202" s="57">
        <f>SUM(J203:J208)</f>
        <v>40000</v>
      </c>
      <c r="K202" s="93">
        <f>SUM(K203:K208)</f>
        <v>0.10395522787843192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40000</v>
      </c>
      <c r="I206" s="36"/>
      <c r="J206" s="36">
        <f t="shared" si="5"/>
        <v>40000</v>
      </c>
      <c r="K206" s="83">
        <f>_xlfn.IFERROR(J206/$J$19*100,"0.00")</f>
        <v>0.10395522787843192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5"/>
        <v>0</v>
      </c>
      <c r="K208" s="83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8580775.830000002</v>
      </c>
      <c r="I219" s="70">
        <f>+I220+I232+I241+I254+I259+I270+I298+I314+I319</f>
        <v>0</v>
      </c>
      <c r="J219" s="70">
        <f>+J220+J232+J241+J254+J259+J270+J298+J314+J319</f>
        <v>8580775.830000002</v>
      </c>
      <c r="K219" s="91">
        <f>+K220+K232+K241+K254+K259+K270+K298+K314+K319</f>
        <v>22.29924317322114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416471.71</v>
      </c>
      <c r="I220" s="63">
        <f>+I221+I224+I226+I230</f>
        <v>0</v>
      </c>
      <c r="J220" s="63">
        <f>+J221+J224+J226+J230</f>
        <v>416471.71</v>
      </c>
      <c r="K220" s="92">
        <f>+K221+K224+K226+K230</f>
        <v>1.0823602879492555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416471.71</v>
      </c>
      <c r="I221" s="57">
        <f>SUM(I222:I222)</f>
        <v>0</v>
      </c>
      <c r="J221" s="57">
        <f>SUM(J222:J222)</f>
        <v>416471.71</v>
      </c>
      <c r="K221" s="93">
        <f>SUM(K222:K222)</f>
        <v>1.0823602879492555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416471.71</v>
      </c>
      <c r="I222" s="36"/>
      <c r="J222" s="36">
        <f>SUBTOTAL(9,G222:I222)</f>
        <v>416471.71</v>
      </c>
      <c r="K222" s="83">
        <f>_xlfn.IFERROR(J222/$J$19*100,"0.00")</f>
        <v>1.0823602879492555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46350.01</v>
      </c>
      <c r="I232" s="63">
        <f>+I233+I235+I237+I239</f>
        <v>0</v>
      </c>
      <c r="J232" s="63">
        <f>+J233+J235+J237+J239</f>
        <v>46350.01</v>
      </c>
      <c r="K232" s="92">
        <f>+K233+K235+K237+K239</f>
        <v>0.12045814629293997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45965.01</v>
      </c>
      <c r="I233" s="52">
        <f>+I234</f>
        <v>0</v>
      </c>
      <c r="J233" s="52">
        <f>+J234</f>
        <v>45965.01</v>
      </c>
      <c r="K233" s="94">
        <f>+K234</f>
        <v>0.11945757722461006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36">
        <v>45965.01</v>
      </c>
      <c r="I234" s="47"/>
      <c r="J234" s="36">
        <f>SUBTOTAL(9,G234:I234)</f>
        <v>45965.01</v>
      </c>
      <c r="K234" s="83">
        <f>_xlfn.IFERROR(J234/$J$19*100,"0.00")</f>
        <v>0.11945757722461006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385</v>
      </c>
      <c r="I235" s="52">
        <f>+I236</f>
        <v>0</v>
      </c>
      <c r="J235" s="52">
        <f>+J236</f>
        <v>385</v>
      </c>
      <c r="K235" s="94">
        <f>+K236</f>
        <v>0.0010005690683299073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>
        <v>385</v>
      </c>
      <c r="I236" s="47"/>
      <c r="J236" s="36">
        <f>SUBTOTAL(9,G236:I236)</f>
        <v>385</v>
      </c>
      <c r="K236" s="83">
        <f>_xlfn.IFERROR(J236/$J$19*100,"0.00")</f>
        <v>0.0010005690683299073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270379.71</v>
      </c>
      <c r="I241" s="63">
        <f>+I242+I244+I246+I248+I250+I252</f>
        <v>0</v>
      </c>
      <c r="J241" s="63">
        <f>+J242+J244+J246+J248+J250+J252</f>
        <v>270379.71</v>
      </c>
      <c r="K241" s="92">
        <f>+K242+K244+K246+K248+K250+K252</f>
        <v>0.7026846091688586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270379.71</v>
      </c>
      <c r="I244" s="52">
        <f>+I245</f>
        <v>0</v>
      </c>
      <c r="J244" s="52">
        <f>+J245</f>
        <v>270379.71</v>
      </c>
      <c r="K244" s="94">
        <f>+K245</f>
        <v>0.7026846091688586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270379.71</v>
      </c>
      <c r="I245" s="36"/>
      <c r="J245" s="36">
        <f>SUBTOTAL(9,G245:I245)</f>
        <v>270379.71</v>
      </c>
      <c r="K245" s="83">
        <f>_xlfn.IFERROR(J245/$J$19*100,"0.00")</f>
        <v>0.7026846091688586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2394888.46</v>
      </c>
      <c r="I254" s="63">
        <f>+I255+I257</f>
        <v>0</v>
      </c>
      <c r="J254" s="63">
        <f>+J255+J257</f>
        <v>2394888.46</v>
      </c>
      <c r="K254" s="92">
        <f>+K255+K257</f>
        <v>6.224029390068172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2394888.46</v>
      </c>
      <c r="I255" s="52">
        <f>+I256</f>
        <v>0</v>
      </c>
      <c r="J255" s="52">
        <f>+J256</f>
        <v>2394888.46</v>
      </c>
      <c r="K255" s="94">
        <f>+K256</f>
        <v>6.224029390068172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2394888.46</v>
      </c>
      <c r="I256" s="36"/>
      <c r="J256" s="36">
        <f>SUBTOTAL(9,G256:I256)</f>
        <v>2394888.46</v>
      </c>
      <c r="K256" s="83">
        <f>_xlfn.IFERROR(J256/$J$19*100,"0.00")</f>
        <v>6.224029390068172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140548.85</v>
      </c>
      <c r="I259" s="63">
        <f>+I260+I262+I264+I266+I268</f>
        <v>0</v>
      </c>
      <c r="J259" s="63">
        <f>+J260+J262+J264+J266+J268</f>
        <v>140548.85</v>
      </c>
      <c r="K259" s="92">
        <f>+K260+K262+K264+K266+K268</f>
        <v>0.36526969324503866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38872</v>
      </c>
      <c r="I264" s="52">
        <f>+I265</f>
        <v>0</v>
      </c>
      <c r="J264" s="52">
        <f>+J265</f>
        <v>38872</v>
      </c>
      <c r="K264" s="94">
        <f>+K265</f>
        <v>0.10102369045226015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38872</v>
      </c>
      <c r="I265" s="36"/>
      <c r="J265" s="36">
        <f>SUBTOTAL(9,G265:I265)</f>
        <v>38872</v>
      </c>
      <c r="K265" s="83">
        <f>_xlfn.IFERROR(J265/$J$19*100,"0.00")</f>
        <v>0.10102369045226015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101676.85</v>
      </c>
      <c r="I268" s="52">
        <f>+I269</f>
        <v>0</v>
      </c>
      <c r="J268" s="52">
        <f>+J269</f>
        <v>101676.85</v>
      </c>
      <c r="K268" s="94">
        <f>+K269</f>
        <v>0.26424600279277854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101676.85</v>
      </c>
      <c r="I269" s="36">
        <v>0</v>
      </c>
      <c r="J269" s="36">
        <f>SUBTOTAL(9,G269:I269)</f>
        <v>101676.85</v>
      </c>
      <c r="K269" s="83">
        <f>_xlfn.IFERROR(J269/$J$19*100,"0.00")</f>
        <v>0.26424600279277854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66255.76</v>
      </c>
      <c r="I270" s="63">
        <f>+I271+I277+I281+I288+I296</f>
        <v>0</v>
      </c>
      <c r="J270" s="63">
        <f>+J271+J277+J281+J288+J296</f>
        <v>66255.76</v>
      </c>
      <c r="K270" s="63">
        <f>+K271+K277+K281+K288+K296</f>
        <v>0.17102131941283502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780</v>
      </c>
      <c r="I271" s="52">
        <f>+I272+I273+I274+I275</f>
        <v>0</v>
      </c>
      <c r="J271" s="52">
        <f>+J272+J273+J274+J275</f>
        <v>780</v>
      </c>
      <c r="K271" s="94">
        <f>+K272+K273+K274+K275</f>
        <v>0.0020271269436294226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780</v>
      </c>
      <c r="I272" s="36"/>
      <c r="J272" s="36">
        <f>SUBTOTAL(9,G272:I272)</f>
        <v>780</v>
      </c>
      <c r="K272" s="83">
        <f>_xlfn.IFERROR(J272/$J$19*100,"0.00")</f>
        <v>0.0020271269436294226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13186.99</v>
      </c>
      <c r="I281" s="52">
        <f>+I282+I283+I284+I285+I286+I287</f>
        <v>0</v>
      </c>
      <c r="J281" s="52">
        <f>+H281</f>
        <v>13186.99</v>
      </c>
      <c r="K281" s="94">
        <f>+K282+K283+K284+K285+K286+K287</f>
        <v>0.033101917448382714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12736.99</v>
      </c>
      <c r="I284" s="36"/>
      <c r="J284" s="36"/>
      <c r="K284" s="83">
        <f>_xlfn.IFERROR(J284/$J$19*100,"0.00")</f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450</v>
      </c>
      <c r="I285" s="36"/>
      <c r="J285" s="36">
        <f>+H284</f>
        <v>12736.99</v>
      </c>
      <c r="K285" s="83">
        <f>_xlfn.IFERROR(J285/$J$19*100,"0.00")</f>
        <v>0.033101917448382714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52288.77</v>
      </c>
      <c r="I288" s="52">
        <f>+I289+I290+I291+I292+I293+I294+I295</f>
        <v>0</v>
      </c>
      <c r="J288" s="52">
        <f>+J289+J290+J291+J292+J293+J294+J295</f>
        <v>52288.77</v>
      </c>
      <c r="K288" s="94">
        <f>+K289+K290+K291+K292+K293+K294+K295</f>
        <v>0.13589227502082288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52288.77</v>
      </c>
      <c r="I292" s="36"/>
      <c r="J292" s="36">
        <f t="shared" si="7"/>
        <v>52288.77</v>
      </c>
      <c r="K292" s="83">
        <f>_xlfn.IFERROR(J292/$J$19*100,"0.00")</f>
        <v>0.13589227502082288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633985</v>
      </c>
      <c r="I298" s="63">
        <f>+I299+I307</f>
        <v>0</v>
      </c>
      <c r="J298" s="63">
        <f>+J299+J307</f>
        <v>633985</v>
      </c>
      <c r="K298" s="92">
        <f>+K299+K307</f>
        <v>1.6476513786626914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633985</v>
      </c>
      <c r="I299" s="52">
        <f>+I300+I301+I302+I303+I304+I305+I306</f>
        <v>0</v>
      </c>
      <c r="J299" s="52">
        <f>+J300+J301+J302+J303+J304+J305+J306</f>
        <v>633985</v>
      </c>
      <c r="K299" s="94">
        <f>+K300+K301+K302+K303+K304+K305+K306</f>
        <v>1.6476513786626914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237500</v>
      </c>
      <c r="I300" s="36"/>
      <c r="J300" s="36">
        <f aca="true" t="shared" si="8" ref="J300:J306">SUBTOTAL(9,G300:I300)</f>
        <v>237500</v>
      </c>
      <c r="K300" s="83">
        <f>_xlfn.IFERROR(J300/$J$19*100,"0.00")</f>
        <v>0.6172341655281895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395485</v>
      </c>
      <c r="I301" s="36"/>
      <c r="J301" s="36">
        <f t="shared" si="8"/>
        <v>395485</v>
      </c>
      <c r="K301" s="83">
        <f>_xlfn.IFERROR(J301/$J$19*100,"0.00")</f>
        <v>1.0278183324375412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1000</v>
      </c>
      <c r="I303" s="36"/>
      <c r="J303" s="36">
        <f t="shared" si="8"/>
        <v>1000</v>
      </c>
      <c r="K303" s="83">
        <f>_xlfn.IFERROR(J303/$J$19*100,"0.00")</f>
        <v>0.002598880696960798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4611896.330000001</v>
      </c>
      <c r="I319" s="63">
        <f>+I320+I322+I324+I326+I328+I330+I332+I334+I336</f>
        <v>0</v>
      </c>
      <c r="J319" s="63">
        <f>+J320+J322+J324+J326+J328+J330+J332+J334+J336</f>
        <v>4611896.330000001</v>
      </c>
      <c r="K319" s="92">
        <f>+K320+K322+K324+K326+K328+K330+K332+K334+K336</f>
        <v>11.985768348421347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183022.5</v>
      </c>
      <c r="I320" s="52">
        <f>+I321</f>
        <v>0</v>
      </c>
      <c r="J320" s="52">
        <f>+J321</f>
        <v>183022.5</v>
      </c>
      <c r="K320" s="94">
        <f>+K321</f>
        <v>0.4756536423595077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183022.5</v>
      </c>
      <c r="I321" s="36"/>
      <c r="J321" s="36">
        <f>SUBTOTAL(9,G321:I321)</f>
        <v>183022.5</v>
      </c>
      <c r="K321" s="83">
        <f>_xlfn.IFERROR(J321/$J$19*100,"0.00")</f>
        <v>0.4756536423595077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514105.48</v>
      </c>
      <c r="I322" s="52">
        <f>+I323</f>
        <v>0</v>
      </c>
      <c r="J322" s="52">
        <f>+J323</f>
        <v>514105.48</v>
      </c>
      <c r="K322" s="94">
        <f>+K323</f>
        <v>1.3360988081737655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514105.48</v>
      </c>
      <c r="I323" s="36"/>
      <c r="J323" s="36">
        <f>SUBTOTAL(9,G323:I323)</f>
        <v>514105.48</v>
      </c>
      <c r="K323" s="83">
        <f>_xlfn.IFERROR(J323/$J$19*100,"0.00")</f>
        <v>1.3360988081737655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3906749.91</v>
      </c>
      <c r="I324" s="52">
        <f>+I325</f>
        <v>0</v>
      </c>
      <c r="J324" s="52">
        <f>+J325</f>
        <v>3906749.91</v>
      </c>
      <c r="K324" s="94">
        <f>+K325</f>
        <v>10.153176928952336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3906749.91</v>
      </c>
      <c r="I325" s="36"/>
      <c r="J325" s="36">
        <f>SUBTOTAL(9,G325:I325)</f>
        <v>3906749.91</v>
      </c>
      <c r="K325" s="83">
        <f>_xlfn.IFERROR(J325/$J$19*100,"0.00")</f>
        <v>10.153176928952336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8018.44</v>
      </c>
      <c r="I330" s="52">
        <f>+I331</f>
        <v>0</v>
      </c>
      <c r="J330" s="52">
        <f>+J331</f>
        <v>8018.44</v>
      </c>
      <c r="K330" s="94">
        <f>+K331</f>
        <v>0.02083896893573834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8018.44</v>
      </c>
      <c r="I331" s="36"/>
      <c r="J331" s="36">
        <f>SUBTOTAL(9,G331:I331)</f>
        <v>8018.44</v>
      </c>
      <c r="K331" s="83">
        <f>_xlfn.IFERROR(J331/$J$19*100,"0.00")</f>
        <v>0.02083896893573834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 hidden="1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 hidden="1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 hidden="1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 hidden="1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 hidden="1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 hidden="1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 hidden="1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 hidden="1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 hidden="1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 hidden="1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 hidden="1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 hidden="1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 hidden="1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 hidden="1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 hidden="1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 hidden="1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 hidden="1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 hidden="1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 hidden="1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 hidden="1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 hidden="1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 hidden="1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 hidden="1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 hidden="1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 hidden="1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 hidden="1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 hidden="1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 hidden="1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 hidden="1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 hidden="1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 hidden="1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 hidden="1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 hidden="1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 hidden="1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 hidden="1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 hidden="1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 hidden="1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 hidden="1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 hidden="1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 hidden="1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 hidden="1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 hidden="1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 hidden="1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 hidden="1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 hidden="1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 hidden="1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 hidden="1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 hidden="1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 hidden="1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 hidden="1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 hidden="1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 hidden="1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 hidden="1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 hidden="1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 hidden="1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 hidden="1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 hidden="1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 hidden="1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 hidden="1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 hidden="1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 hidden="1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 hidden="1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 hidden="1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 hidden="1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 hidden="1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 hidden="1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 hidden="1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 hidden="1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 hidden="1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 hidden="1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 hidden="1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 hidden="1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 hidden="1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 hidden="1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 hidden="1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 hidden="1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 hidden="1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 hidden="1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 hidden="1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 hidden="1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 hidden="1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 hidden="1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 hidden="1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 hidden="1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 hidden="1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 hidden="1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 hidden="1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 hidden="1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 hidden="1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 hidden="1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 hidden="1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 hidden="1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 hidden="1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 hidden="1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 hidden="1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 hidden="1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 hidden="1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 hidden="1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 hidden="1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 hidden="1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 hidden="1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 hidden="1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 hidden="1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 hidden="1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 hidden="1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 hidden="1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 hidden="1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 hidden="1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 hidden="1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 hidden="1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 hidden="1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 hidden="1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 hidden="1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 hidden="1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 hidden="1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 hidden="1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 hidden="1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 hidden="1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 hidden="1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 hidden="1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 hidden="1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 hidden="1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 hidden="1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 hidden="1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 hidden="1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 hidden="1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 hidden="1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 hidden="1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 hidden="1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 hidden="1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 hidden="1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 hidden="1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 hidden="1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 hidden="1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 hidden="1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 hidden="1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 hidden="1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 hidden="1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 hidden="1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 hidden="1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 hidden="1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 hidden="1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 hidden="1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 hidden="1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 hidden="1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 hidden="1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 hidden="1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 hidden="1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 hidden="1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 hidden="1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 hidden="1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 hidden="1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 hidden="1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 hidden="1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 hidden="1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 hidden="1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 hidden="1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 hidden="1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 hidden="1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 hidden="1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 hidden="1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 hidden="1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 hidden="1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 hidden="1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 hidden="1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 hidden="1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 hidden="1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 hidden="1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 hidden="1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 hidden="1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 hidden="1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 hidden="1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 hidden="1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 hidden="1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 hidden="1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 hidden="1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 hidden="1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 hidden="1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8" ht="15.75">
      <c r="E518" s="2" t="s">
        <v>399</v>
      </c>
      <c r="F518" s="2" t="s">
        <v>401</v>
      </c>
      <c r="H518" s="125">
        <f>SUM(H88+H219+H403)-H147</f>
        <v>9755992.730000002</v>
      </c>
    </row>
    <row r="519" spans="6:8" ht="15.75">
      <c r="F519" s="2" t="s">
        <v>400</v>
      </c>
      <c r="H519" s="125">
        <v>12910062.15</v>
      </c>
    </row>
    <row r="520" ht="15.75">
      <c r="H520" s="125">
        <f>+H518-H519</f>
        <v>-3154069.419999998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2017-11-02T14:43:52Z</cp:lastPrinted>
  <dcterms:created xsi:type="dcterms:W3CDTF">2007-07-31T17:41:49Z</dcterms:created>
  <dcterms:modified xsi:type="dcterms:W3CDTF">2017-11-07T13:52:47Z</dcterms:modified>
  <cp:category/>
  <cp:version/>
  <cp:contentType/>
  <cp:contentStatus/>
</cp:coreProperties>
</file>