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1"/>
  </bookViews>
  <sheets>
    <sheet name="CONSOLIDADO MENSUAL 2016" sheetId="1" r:id="rId1"/>
    <sheet name="Sheet1" sheetId="2" r:id="rId2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2016'!$A$1:$K$516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<sst xmlns="http://schemas.openxmlformats.org/spreadsheetml/2006/main" count="822" uniqueCount="399">
  <si>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</si>
  <si>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</si>
  <si>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</si>
  <si>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</si>
  <si>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</si>
  <si>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</si>
  <si>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</si>
  <si>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</si>
  <si>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</si>
  <si>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</si>
  <si>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</si>
  <si>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</si>
  <si>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</si>
  <si>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</si>
  <si>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</si>
  <si>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</si>
  <si>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</si>
  <si>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</si>
  <si>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</si>
  <si>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</si>
  <si>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</si>
  <si>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</si>
  <si>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</si>
  <si>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</si>
  <si>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</si>
  <si>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</si>
  <si>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</si>
  <si>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</si>
  <si>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</si>
  <si>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</si>
  <si>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</si>
  <si>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</si>
  <si>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</si>
  <si>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</si>
  <si>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</si>
  <si>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</si>
  <si>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</si>
  <si>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</si>
  <si>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</si>
  <si>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</si>
  <si>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</si>
  <si>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</si>
  <si>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</si>
  <si>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</si>
  <si>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</si>
  <si>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</si>
  <si>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</si>
  <si>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</si>
  <si>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</si>
  <si>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</si>
  <si>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</si>
  <si>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</si>
  <si>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</si>
  <si>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</si>
  <si>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</si>
  <si>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</si>
  <si>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</si>
  <si>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</si>
  <si>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</si>
  <si>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</si>
  <si>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</si>
  <si>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</si>
  <si>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</si>
  <si>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</si>
  <si>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</si>
  <si>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</si>
  <si>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</si>
  <si>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</si>
  <si>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</si>
  <si>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</si>
  <si>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</si>
  <si>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</si>
  <si>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</si>
  <si>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</si>
  <si>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</si>
  <si>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</si>
  <si>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</si>
  <si>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</si>
  <si>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</si>
  <si>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</si>
  <si>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</si>
  <si>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</si>
  <si>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</si>
  <si>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</si>
  <si>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</si>
  <si>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</si>
  <si>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</si>
  <si>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</si>
  <si>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</si>
  <si>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</si>
  <si>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</si>
  <si>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</si>
  <si>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</si>
  <si>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</si>
  <si>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</si>
  <si>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</si>
  <si>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</si>
  <si>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</si>
  <si>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</si>
  <si>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</si>
  <si>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</si>
  <si>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</si>
  <si>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</si>
  <si>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</si>
  <si>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</si>
  <si>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</si>
  <si>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</si>
  <si>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</si>
  <si>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</si>
  <si>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</si>
  <si>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</si>
  <si>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</si>
  <si>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</si>
  <si>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</si>
  <si>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</si>
  <si>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</si>
  <si>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</si>
  <si>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</si>
  <si>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</si>
  <si>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</si>
  <si>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</si>
  <si>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</si>
  <si>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</si>
  <si>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</si>
  <si>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</si>
  <si>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</si>
  <si>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</si>
  <si>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</si>
  <si>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</si>
  <si>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</si>
  <si>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</si>
  <si>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</si>
  <si>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</si>
  <si>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</si>
  <si>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</si>
  <si>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</si>
  <si>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</si>
  <si>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</si>
  <si>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</si>
  <si>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</si>
  <si>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</si>
  <si>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</si>
  <si>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</si>
  <si>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</si>
  <si>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</si>
  <si>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</si>
  <si>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</si>
  <si>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</si>
  <si>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</si>
  <si>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</si>
  <si>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</si>
  <si>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</si>
  <si>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</si>
  <si>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</si>
  <si>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</si>
  <si>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</si>
  <si>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</si>
  <si>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</si>
  <si>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</si>
  <si>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</si>
  <si>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</si>
  <si>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</si>
  <si>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</si>
  <si>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</si>
  <si>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</si>
  <si>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</si>
  <si>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</si>
  <si>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</si>
  <si>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</si>
  <si>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</si>
  <si>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</si>
  <si>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</si>
  <si>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</si>
  <si>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</si>
  <si>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</si>
  <si>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</si>
  <si>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</si>
  <si>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</si>
  <si>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</si>
  <si>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</si>
  <si>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</si>
  <si>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</si>
  <si>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</si>
  <si>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</si>
  <si>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</si>
  <si>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</si>
  <si>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</si>
  <si>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</si>
  <si>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</si>
  <si>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</si>
  <si>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</si>
  <si>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</si>
  <si>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</si>
  <si>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</si>
  <si>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</si>
  <si>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</si>
  <si>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</si>
  <si>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</si>
  <si>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</si>
  <si>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</si>
  <si>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</si>
  <si>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</si>
  <si>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</si>
  <si>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</si>
  <si>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</si>
  <si>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</si>
  <si>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</si>
  <si>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</si>
  <si>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</si>
  <si>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</si>
  <si>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</si>
  <si>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</si>
  <si>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</si>
  <si>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</si>
  <si>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</si>
  <si>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</si>
  <si>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</si>
  <si>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</si>
  <si>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</si>
  <si>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</si>
  <si>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</si>
  <si>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</si>
  <si>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</si>
  <si>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</si>
  <si>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</si>
  <si>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</si>
  <si>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</si>
  <si>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</si>
  <si>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</si>
  <si>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</si>
  <si>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</si>
  <si>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</si>
  <si>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</si>
  <si>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</si>
  <si>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</si>
  <si>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</si>
  <si>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</si>
  <si>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</si>
  <si>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</si>
  <si>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</si>
  <si>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</si>
  <si>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</si>
  <si>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</si>
  <si>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</si>
  <si>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</si>
  <si>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</si>
  <si>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</si>
  <si>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</si>
  <si>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</si>
  <si>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</si>
  <si>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</si>
  <si>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</si>
  <si>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</si>
  <si>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</si>
  <si>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</si>
  <si>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</si>
  <si>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</si>
  <si>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</si>
  <si>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</si>
  <si>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</si>
  <si>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</si>
  <si>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</si>
  <si>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</si>
  <si>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</si>
  <si>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</si>
  <si>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</si>
  <si>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</si>
  <si>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</si>
  <si>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</si>
  <si>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</si>
  <si>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</si>
  <si>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</si>
  <si>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</si>
  <si>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</si>
  <si>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</si>
  <si>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</si>
  <si>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</si>
  <si>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</si>
  <si>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</si>
  <si>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</si>
  <si>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</si>
  <si>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</si>
  <si>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</si>
  <si>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</si>
  <si>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</si>
  <si>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</si>
  <si>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</si>
  <si>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</si>
  <si>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</si>
  <si>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</si>
  <si>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</si>
  <si>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</si>
  <si>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</si>
  <si>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</si>
  <si>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</si>
  <si>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</si>
  <si>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</si>
  <si>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</si>
  <si>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</si>
  <si>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</si>
  <si>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</si>
  <si>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</si>
  <si>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</si>
  <si>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</si>
  <si>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</si>
  <si>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</si>
  <si>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</si>
  <si>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</si>
  <si>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</si>
  <si>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</si>
  <si>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</si>
  <si>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</si>
  <si>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</si>
  <si>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</si>
  <si>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</si>
  <si>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</si>
  <si>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</si>
  <si>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</si>
  <si>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</si>
  <si>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</si>
  <si>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</si>
  <si>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</si>
  <si>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</si>
  <si>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</si>
  <si>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</si>
  <si>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</si>
  <si>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</si>
  <si>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</si>
  <si>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</si>
  <si>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</si>
  <si>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</si>
  <si>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</si>
  <si>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</si>
  <si>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</si>
  <si>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</si>
  <si>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</si>
  <si>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</si>
  <si>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</si>
  <si>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</si>
  <si>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</si>
  <si>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</si>
  <si>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</si>
  <si>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</si>
  <si>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</si>
  <si>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</si>
  <si>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</si>
  <si>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</si>
  <si>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</si>
  <si>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</si>
  <si>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</si>
  <si>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</si>
  <si>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</si>
  <si>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</si>
  <si>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</si>
  <si>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</si>
  <si>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</si>
  <si>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</si>
  <si>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</si>
  <si>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</si>
  <si>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</si>
  <si>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</si>
  <si>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</si>
  <si>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</si>
  <si>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</si>
  <si>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</si>
  <si>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</si>
  <si>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</si>
  <si>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</si>
  <si>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</si>
  <si>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</si>
  <si>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</si>
  <si>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</si>
  <si>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</si>
  <si>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</si>
  <si>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</si>
  <si>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</si>
  <si>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</si>
  <si>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</si>
  <si>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</si>
  <si>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</si>
  <si>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</si>
  <si>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</si>
  <si>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</si>
  <si>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</si>
  <si>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</si>
  <si>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</si>
  <si>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</si>
  <si>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</si>
  <si>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</si>
  <si>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</si>
  <si>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</si>
  <si>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</si>
  <si>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</si>
  <si>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</si>
  <si>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</si>
  <si>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</si>
  <si>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</si>
  <si>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BANLANCE INICIAL</t>
  </si>
  <si>
    <t>AL 31 DE MARZO 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</si>
</sst>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43" fontId="53" fillId="0" borderId="0" applyFont="0" applyFill="0" applyBorder="0" applyAlignment="0" applyProtection="0"/>
    <xf numFmtId="0" fontId="54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60">
      <alignment/>
      <protection/>
    </xf>
    <xf numFmtId="0" fontId="59" fillId="0" borderId="0" xfId="60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60" applyFont="1" applyFill="1" applyBorder="1">
      <alignment/>
      <protection/>
    </xf>
    <xf numFmtId="0" fontId="59" fillId="34" borderId="0" xfId="60" applyFont="1" applyFill="1" applyBorder="1">
      <alignment/>
      <protection/>
    </xf>
    <xf numFmtId="0" fontId="0" fillId="34" borderId="13" xfId="60" applyFill="1" applyBorder="1">
      <alignment/>
      <protection/>
    </xf>
    <xf numFmtId="0" fontId="59" fillId="34" borderId="0" xfId="60" applyFont="1" applyFill="1" applyBorder="1" applyAlignment="1">
      <alignment horizontal="left" indent="3"/>
      <protection/>
    </xf>
    <xf numFmtId="0" fontId="59" fillId="16" borderId="0" xfId="60" applyFont="1" applyFill="1" applyBorder="1">
      <alignment/>
      <protection/>
    </xf>
    <xf numFmtId="0" fontId="0" fillId="16" borderId="13" xfId="60" applyFill="1" applyBorder="1">
      <alignment/>
      <protection/>
    </xf>
    <xf numFmtId="0" fontId="59" fillId="10" borderId="0" xfId="60" applyFont="1" applyFill="1" applyBorder="1">
      <alignment/>
      <protection/>
    </xf>
    <xf numFmtId="0" fontId="0" fillId="10" borderId="13" xfId="60" applyFill="1" applyBorder="1">
      <alignment/>
      <protection/>
    </xf>
    <xf numFmtId="0" fontId="59" fillId="4" borderId="0" xfId="60" applyFont="1" applyFill="1" applyBorder="1">
      <alignment/>
      <protection/>
    </xf>
    <xf numFmtId="0" fontId="0" fillId="4" borderId="13" xfId="60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8" applyFont="1" applyFill="1" applyBorder="1" applyAlignment="1" applyProtection="1">
      <alignment vertical="top"/>
      <protection/>
    </xf>
    <xf numFmtId="190" fontId="32" fillId="36" borderId="14" xfId="56" applyNumberFormat="1" applyFont="1" applyFill="1" applyBorder="1" applyAlignment="1" applyProtection="1">
      <alignment vertical="top"/>
      <protection locked="0"/>
    </xf>
    <xf numFmtId="0" fontId="64" fillId="36" borderId="14" xfId="58" applyFont="1" applyFill="1" applyBorder="1" applyAlignment="1" applyProtection="1">
      <alignment vertical="top"/>
      <protection/>
    </xf>
    <xf numFmtId="0" fontId="32" fillId="36" borderId="14" xfId="58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8" applyFont="1" applyFill="1" applyBorder="1" applyAlignment="1" applyProtection="1">
      <alignment vertical="top"/>
      <protection/>
    </xf>
    <xf numFmtId="0" fontId="64" fillId="36" borderId="14" xfId="58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8" applyFont="1" applyFill="1" applyBorder="1" applyAlignment="1" applyProtection="1">
      <alignment vertical="top"/>
      <protection/>
    </xf>
    <xf numFmtId="0" fontId="31" fillId="36" borderId="14" xfId="58" applyFont="1" applyFill="1" applyBorder="1" applyAlignment="1" applyProtection="1">
      <alignment horizontal="center" vertical="top"/>
      <protection/>
    </xf>
    <xf numFmtId="190" fontId="31" fillId="36" borderId="14" xfId="56" applyNumberFormat="1" applyFont="1" applyFill="1" applyBorder="1" applyAlignment="1" applyProtection="1">
      <alignment vertical="top"/>
      <protection locked="0"/>
    </xf>
    <xf numFmtId="0" fontId="65" fillId="36" borderId="14" xfId="58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8" applyFont="1" applyFill="1" applyBorder="1" applyAlignment="1" applyProtection="1">
      <alignment vertical="top" wrapText="1"/>
      <protection/>
    </xf>
    <xf numFmtId="190" fontId="31" fillId="36" borderId="14" xfId="56" applyNumberFormat="1" applyFont="1" applyFill="1" applyBorder="1" applyAlignment="1" applyProtection="1">
      <alignment vertical="top"/>
      <protection/>
    </xf>
    <xf numFmtId="0" fontId="64" fillId="36" borderId="14" xfId="58" applyFont="1" applyFill="1" applyBorder="1" applyAlignment="1" applyProtection="1">
      <alignment horizontal="center" vertical="center"/>
      <protection/>
    </xf>
    <xf numFmtId="0" fontId="32" fillId="36" borderId="14" xfId="58" applyFont="1" applyFill="1" applyBorder="1" applyAlignment="1" applyProtection="1">
      <alignment horizontal="center" vertical="center"/>
      <protection/>
    </xf>
    <xf numFmtId="0" fontId="31" fillId="36" borderId="14" xfId="58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6" applyNumberFormat="1" applyFont="1" applyFill="1" applyBorder="1" applyAlignment="1" applyProtection="1">
      <alignment vertical="top"/>
      <protection hidden="1"/>
    </xf>
    <xf numFmtId="0" fontId="65" fillId="37" borderId="15" xfId="58" applyFont="1" applyFill="1" applyBorder="1" applyAlignment="1" applyProtection="1">
      <alignment vertical="top"/>
      <protection/>
    </xf>
    <xf numFmtId="0" fontId="31" fillId="37" borderId="15" xfId="58" applyFont="1" applyFill="1" applyBorder="1" applyAlignment="1" applyProtection="1">
      <alignment horizontal="center" vertical="top"/>
      <protection/>
    </xf>
    <xf numFmtId="0" fontId="31" fillId="37" borderId="15" xfId="58" applyFont="1" applyFill="1" applyBorder="1" applyAlignment="1" applyProtection="1">
      <alignment vertical="top"/>
      <protection/>
    </xf>
    <xf numFmtId="190" fontId="31" fillId="37" borderId="15" xfId="56" applyNumberFormat="1" applyFont="1" applyFill="1" applyBorder="1" applyAlignment="1" applyProtection="1">
      <alignment vertical="top"/>
      <protection hidden="1"/>
    </xf>
    <xf numFmtId="0" fontId="31" fillId="2" borderId="14" xfId="58" applyFont="1" applyFill="1" applyBorder="1" applyAlignment="1" applyProtection="1">
      <alignment horizontal="center" vertical="top"/>
      <protection/>
    </xf>
    <xf numFmtId="190" fontId="31" fillId="2" borderId="14" xfId="56" applyNumberFormat="1" applyFont="1" applyFill="1" applyBorder="1" applyAlignment="1" applyProtection="1">
      <alignment vertical="top"/>
      <protection hidden="1"/>
    </xf>
    <xf numFmtId="0" fontId="65" fillId="2" borderId="14" xfId="58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8" applyFont="1" applyFill="1" applyBorder="1" applyAlignment="1" applyProtection="1">
      <alignment/>
      <protection/>
    </xf>
    <xf numFmtId="0" fontId="31" fillId="8" borderId="14" xfId="58" applyFont="1" applyFill="1" applyBorder="1" applyAlignment="1" applyProtection="1">
      <alignment horizontal="center"/>
      <protection/>
    </xf>
    <xf numFmtId="0" fontId="31" fillId="8" borderId="14" xfId="58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6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60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60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60" applyFont="1" applyFill="1" applyBorder="1">
      <alignment/>
      <protection/>
    </xf>
    <xf numFmtId="0" fontId="0" fillId="33" borderId="13" xfId="60" applyFont="1" applyFill="1" applyBorder="1">
      <alignment/>
      <protection/>
    </xf>
    <xf numFmtId="0" fontId="23" fillId="33" borderId="12" xfId="58" applyFont="1" applyFill="1" applyBorder="1" applyAlignment="1">
      <alignment horizontal="left" indent="2"/>
      <protection/>
    </xf>
    <xf numFmtId="190" fontId="32" fillId="33" borderId="14" xfId="56" applyNumberFormat="1" applyFont="1" applyFill="1" applyBorder="1" applyAlignment="1" applyProtection="1">
      <alignment horizontal="right" vertical="top"/>
      <protection locked="0"/>
    </xf>
    <xf numFmtId="0" fontId="64" fillId="36" borderId="16" xfId="58" applyFont="1" applyFill="1" applyBorder="1" applyAlignment="1" applyProtection="1">
      <alignment vertical="top"/>
      <protection/>
    </xf>
    <xf numFmtId="0" fontId="32" fillId="36" borderId="16" xfId="58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6" applyNumberFormat="1" applyFont="1" applyFill="1" applyBorder="1" applyAlignment="1" applyProtection="1">
      <alignment vertical="top"/>
      <protection locked="0"/>
    </xf>
    <xf numFmtId="190" fontId="32" fillId="33" borderId="16" xfId="56" applyNumberFormat="1" applyFont="1" applyFill="1" applyBorder="1" applyAlignment="1" applyProtection="1">
      <alignment horizontal="right" vertical="top"/>
      <protection locked="0"/>
    </xf>
    <xf numFmtId="190" fontId="31" fillId="37" borderId="15" xfId="56" applyNumberFormat="1" applyFont="1" applyFill="1" applyBorder="1" applyAlignment="1" applyProtection="1">
      <alignment horizontal="right" vertical="top"/>
      <protection hidden="1"/>
    </xf>
    <xf numFmtId="190" fontId="31" fillId="8" borderId="14" xfId="56" applyNumberFormat="1" applyFont="1" applyFill="1" applyBorder="1" applyAlignment="1" applyProtection="1">
      <alignment horizontal="right" vertical="top"/>
      <protection hidden="1"/>
    </xf>
    <xf numFmtId="190" fontId="31" fillId="2" borderId="14" xfId="56" applyNumberFormat="1" applyFont="1" applyFill="1" applyBorder="1" applyAlignment="1" applyProtection="1">
      <alignment horizontal="right" vertical="top"/>
      <protection hidden="1"/>
    </xf>
    <xf numFmtId="190" fontId="31" fillId="33" borderId="14" xfId="56" applyNumberFormat="1" applyFont="1" applyFill="1" applyBorder="1" applyAlignment="1" applyProtection="1">
      <alignment horizontal="right" vertical="top"/>
      <protection hidden="1"/>
    </xf>
    <xf numFmtId="190" fontId="31" fillId="33" borderId="14" xfId="56" applyNumberFormat="1" applyFont="1" applyFill="1" applyBorder="1" applyAlignment="1" applyProtection="1">
      <alignment horizontal="right" vertical="top"/>
      <protection/>
    </xf>
    <xf numFmtId="190" fontId="31" fillId="33" borderId="14" xfId="56" applyNumberFormat="1" applyFont="1" applyFill="1" applyBorder="1" applyAlignment="1" applyProtection="1">
      <alignment horizontal="right" vertical="top"/>
      <protection locked="0"/>
    </xf>
    <xf numFmtId="0" fontId="65" fillId="36" borderId="16" xfId="58" applyFont="1" applyFill="1" applyBorder="1" applyAlignment="1" applyProtection="1">
      <alignment vertical="top"/>
      <protection/>
    </xf>
    <xf numFmtId="0" fontId="31" fillId="36" borderId="16" xfId="58" applyFont="1" applyFill="1" applyBorder="1" applyAlignment="1" applyProtection="1">
      <alignment horizontal="center" vertical="top"/>
      <protection/>
    </xf>
    <xf numFmtId="190" fontId="31" fillId="36" borderId="16" xfId="56" applyNumberFormat="1" applyFont="1" applyFill="1" applyBorder="1" applyAlignment="1" applyProtection="1">
      <alignment vertical="top"/>
      <protection hidden="1"/>
    </xf>
    <xf numFmtId="190" fontId="31" fillId="33" borderId="16" xfId="56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8" applyFont="1" applyFill="1" applyBorder="1" applyAlignment="1" applyProtection="1">
      <alignment/>
      <protection/>
    </xf>
    <xf numFmtId="0" fontId="66" fillId="8" borderId="14" xfId="58" applyFont="1" applyFill="1" applyBorder="1" applyAlignment="1" applyProtection="1">
      <alignment horizontal="center"/>
      <protection/>
    </xf>
    <xf numFmtId="0" fontId="66" fillId="8" borderId="14" xfId="58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8" applyFont="1" applyFill="1" applyBorder="1" applyAlignment="1" applyProtection="1">
      <alignment vertical="top"/>
      <protection/>
    </xf>
    <xf numFmtId="0" fontId="66" fillId="2" borderId="14" xfId="58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8" applyFont="1" applyFill="1" applyBorder="1" applyAlignment="1" applyProtection="1">
      <alignment vertical="top"/>
      <protection/>
    </xf>
    <xf numFmtId="0" fontId="66" fillId="36" borderId="14" xfId="58" applyFont="1" applyFill="1" applyBorder="1" applyAlignment="1" applyProtection="1">
      <alignment horizontal="center" vertical="top"/>
      <protection/>
    </xf>
    <xf numFmtId="0" fontId="67" fillId="36" borderId="14" xfId="58" applyFont="1" applyFill="1" applyBorder="1" applyProtection="1">
      <alignment/>
      <protection/>
    </xf>
    <xf numFmtId="0" fontId="67" fillId="36" borderId="14" xfId="58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8" applyFont="1" applyFill="1" applyBorder="1" applyAlignment="1" applyProtection="1">
      <alignment vertical="top"/>
      <protection locked="0"/>
    </xf>
    <xf numFmtId="0" fontId="67" fillId="36" borderId="14" xfId="58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8" applyFont="1" applyFill="1" applyBorder="1" applyProtection="1">
      <alignment/>
      <protection/>
    </xf>
    <xf numFmtId="0" fontId="67" fillId="36" borderId="14" xfId="58" applyFont="1" applyFill="1" applyBorder="1" applyAlignment="1" applyProtection="1">
      <alignment vertical="top"/>
      <protection/>
    </xf>
    <xf numFmtId="43" fontId="23" fillId="33" borderId="0" xfId="42" applyFont="1" applyFill="1" applyBorder="1" applyAlignment="1" applyProtection="1">
      <alignment/>
      <protection locked="0"/>
    </xf>
    <xf numFmtId="43" fontId="23" fillId="33" borderId="17" xfId="42" applyFont="1" applyFill="1" applyBorder="1" applyAlignment="1" applyProtection="1">
      <alignment/>
      <protection locked="0"/>
    </xf>
    <xf numFmtId="43" fontId="28" fillId="38" borderId="18" xfId="42" applyFont="1" applyFill="1" applyBorder="1" applyAlignment="1">
      <alignment/>
    </xf>
    <xf numFmtId="43" fontId="63" fillId="35" borderId="0" xfId="42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9" applyFont="1" applyFill="1" applyBorder="1" applyAlignment="1">
      <alignment horizontal="center" vertical="center" wrapText="1"/>
      <protection/>
    </xf>
    <xf numFmtId="0" fontId="37" fillId="38" borderId="20" xfId="59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9" applyFont="1" applyFill="1" applyBorder="1" applyAlignment="1">
      <alignment horizontal="center" textRotation="90"/>
      <protection/>
    </xf>
    <xf numFmtId="0" fontId="37" fillId="38" borderId="15" xfId="59" applyFont="1" applyFill="1" applyBorder="1" applyAlignment="1">
      <alignment horizontal="center" vertical="center"/>
      <protection/>
    </xf>
    <xf numFmtId="0" fontId="37" fillId="38" borderId="20" xfId="59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90625" y="237077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400050</xdr:colOff>
      <xdr:row>205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0709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19050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90625" y="24679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221</xdr:row>
      <xdr:rowOff>0</xdr:rowOff>
    </xdr:from>
    <xdr:to>
      <xdr:col>5</xdr:col>
      <xdr:colOff>400050</xdr:colOff>
      <xdr:row>221</xdr:row>
      <xdr:rowOff>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6617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2</xdr:col>
      <xdr:colOff>476250</xdr:colOff>
      <xdr:row>4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28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zoomScale="80" zoomScaleNormal="80" zoomScalePageLayoutView="0" workbookViewId="0" topLeftCell="A1">
      <selection activeCell="A1" sqref="A1:IV15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283</v>
      </c>
      <c r="B1" s="7"/>
      <c r="C1" s="7"/>
      <c r="D1" s="7"/>
      <c r="E1" s="7"/>
      <c r="F1" s="12"/>
      <c r="G1" s="12"/>
      <c r="H1" s="19"/>
      <c r="I1" s="19"/>
      <c r="J1" s="124" t="s">
        <v>395</v>
      </c>
      <c r="K1" s="125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280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396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4.2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4.25">
      <c r="A7" s="13" t="s">
        <v>286</v>
      </c>
      <c r="B7" s="14"/>
      <c r="C7" s="14"/>
      <c r="D7" s="14"/>
      <c r="E7" s="14"/>
      <c r="F7" s="14"/>
      <c r="G7" s="14" t="s">
        <v>398</v>
      </c>
      <c r="H7" s="25"/>
      <c r="I7" s="25"/>
      <c r="J7" s="25"/>
      <c r="K7" s="26"/>
    </row>
    <row r="8" spans="1:11" ht="14.2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3">
        <v>14527598.97</v>
      </c>
      <c r="H9" s="30"/>
      <c r="I9" s="30"/>
      <c r="J9" s="30"/>
      <c r="K9" s="31"/>
    </row>
    <row r="10" spans="1:11" ht="13.5">
      <c r="A10" s="78" t="s">
        <v>281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15851168.65</v>
      </c>
      <c r="H11" s="77"/>
      <c r="I11" s="77"/>
      <c r="J11" s="77"/>
      <c r="K11" s="81"/>
    </row>
    <row r="12" spans="1:11" ht="13.5">
      <c r="A12" s="78" t="s">
        <v>282</v>
      </c>
      <c r="B12" s="3"/>
      <c r="C12" s="3"/>
      <c r="D12" s="3"/>
      <c r="E12" s="79"/>
      <c r="F12" s="80"/>
      <c r="G12" s="120">
        <v>22912744.57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34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36</v>
      </c>
      <c r="B15" s="72"/>
      <c r="C15" s="72"/>
      <c r="D15" s="72"/>
      <c r="E15" s="73"/>
      <c r="F15" s="74"/>
      <c r="G15" s="122">
        <f>SUM(G9:G14)</f>
        <v>53291512.19</v>
      </c>
      <c r="H15" s="75"/>
      <c r="I15" s="75"/>
      <c r="J15" s="75"/>
      <c r="K15" s="76"/>
    </row>
    <row r="16" spans="1:11" ht="15.75" customHeight="1" thickTop="1">
      <c r="A16" s="32"/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9" t="s">
        <v>37</v>
      </c>
      <c r="B17" s="129" t="s">
        <v>31</v>
      </c>
      <c r="C17" s="129" t="s">
        <v>1</v>
      </c>
      <c r="D17" s="129" t="s">
        <v>32</v>
      </c>
      <c r="E17" s="129" t="s">
        <v>4</v>
      </c>
      <c r="F17" s="130" t="s">
        <v>35</v>
      </c>
      <c r="G17" s="128" t="s">
        <v>33</v>
      </c>
      <c r="H17" s="128" t="s">
        <v>19</v>
      </c>
      <c r="I17" s="128" t="s">
        <v>18</v>
      </c>
      <c r="J17" s="126" t="s">
        <v>287</v>
      </c>
      <c r="K17" s="126" t="s">
        <v>3</v>
      </c>
    </row>
    <row r="18" spans="1:11" ht="44.25" customHeight="1">
      <c r="A18" s="129"/>
      <c r="B18" s="129"/>
      <c r="C18" s="129"/>
      <c r="D18" s="129"/>
      <c r="E18" s="129"/>
      <c r="F18" s="131"/>
      <c r="G18" s="128"/>
      <c r="H18" s="128"/>
      <c r="I18" s="128"/>
      <c r="J18" s="127"/>
      <c r="K18" s="127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22912744.57</v>
      </c>
      <c r="H19" s="61">
        <f>+H20+H88+H219+H338+H396+H403+H486</f>
        <v>15151169.8</v>
      </c>
      <c r="I19" s="61">
        <f>+I20+I88+I219+I338+I396+I403+I486</f>
        <v>0</v>
      </c>
      <c r="J19" s="61">
        <f>+J20+J88+J219+J338+J396+J403+J486+J150</f>
        <v>38063914.37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288</v>
      </c>
      <c r="G20" s="70">
        <f>+G21+G48+G64+G71+G79</f>
        <v>22912744.57</v>
      </c>
      <c r="H20" s="70">
        <f>+H21+H48+H64+H71+H79</f>
        <v>5389267.98</v>
      </c>
      <c r="I20" s="70">
        <f>+I21+I48+I64+I71+I79</f>
        <v>0</v>
      </c>
      <c r="J20" s="70">
        <f>+J21+J64+J71+J79-J150</f>
        <v>28306587.549999997</v>
      </c>
      <c r="K20" s="91">
        <f>+K21+K48+K64+K71+K79</f>
        <v>74.35392029020058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38</v>
      </c>
      <c r="G21" s="63">
        <f>+G22+G29+G37+G39+G41+G46</f>
        <v>19868730.82</v>
      </c>
      <c r="H21" s="63">
        <f>+H22+H29+H37+H39+H41+H46</f>
        <v>4803054.73</v>
      </c>
      <c r="I21" s="63">
        <f>+I22+I29+I37+I39+I41+I46</f>
        <v>0</v>
      </c>
      <c r="J21" s="63">
        <f>+J22+J29+J37+J39+J41+J46+J147+J48</f>
        <v>25263473.799999997</v>
      </c>
      <c r="K21" s="92">
        <f>+K22+K29+K37+K39+K41+K46</f>
        <v>64.81673248362765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39</v>
      </c>
      <c r="G22" s="57">
        <f>SUM(G23:G28)</f>
        <v>8885509.08</v>
      </c>
      <c r="H22" s="57">
        <f>SUM(H23:H28)</f>
        <v>487838.57999999996</v>
      </c>
      <c r="I22" s="57">
        <f>SUM(I23:I28)</f>
        <v>0</v>
      </c>
      <c r="J22" s="57">
        <f>SUM(J23:J28)</f>
        <v>9373347.659999998</v>
      </c>
      <c r="K22" s="93">
        <f>SUM(K23:K28)</f>
        <v>24.625285694178597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267</v>
      </c>
      <c r="F23" s="35" t="s">
        <v>289</v>
      </c>
      <c r="G23" s="36">
        <v>1513979.4</v>
      </c>
      <c r="H23" s="36">
        <v>172061.35</v>
      </c>
      <c r="I23" s="36"/>
      <c r="J23" s="36">
        <f aca="true" t="shared" si="0" ref="J23:J28">SUBTOTAL(9,G23:I23)</f>
        <v>1686040.75</v>
      </c>
      <c r="K23" s="83">
        <f aca="true" t="shared" si="1" ref="K23:K28">_xlfn.IFERROR(J23/$J$19*100,"0.00")</f>
        <v>4.429499114596711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268</v>
      </c>
      <c r="F24" s="39" t="s">
        <v>40</v>
      </c>
      <c r="G24" s="36">
        <v>7371529.68</v>
      </c>
      <c r="H24" s="36">
        <v>237777.36</v>
      </c>
      <c r="I24" s="36"/>
      <c r="J24" s="36">
        <f t="shared" si="0"/>
        <v>7609307.04</v>
      </c>
      <c r="K24" s="83">
        <f t="shared" si="1"/>
        <v>19.990868427334583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269</v>
      </c>
      <c r="F25" s="39" t="s">
        <v>290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270</v>
      </c>
      <c r="F26" s="39" t="s">
        <v>41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274</v>
      </c>
      <c r="F27" s="39" t="s">
        <v>42</v>
      </c>
      <c r="G27" s="36"/>
      <c r="H27" s="36">
        <v>77999.87</v>
      </c>
      <c r="I27" s="36"/>
      <c r="J27" s="36">
        <f t="shared" si="0"/>
        <v>77999.87</v>
      </c>
      <c r="K27" s="83">
        <f t="shared" si="1"/>
        <v>0.20491815224730395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43</v>
      </c>
      <c r="G29" s="57">
        <f>SUM(G30:G36)</f>
        <v>10983221.74</v>
      </c>
      <c r="H29" s="57">
        <f>SUM(H30:H36)</f>
        <v>4253343.4</v>
      </c>
      <c r="I29" s="57">
        <f>SUM(I30:I36)</f>
        <v>0</v>
      </c>
      <c r="J29" s="57">
        <f>SUM(J30:J36)</f>
        <v>15236565.14</v>
      </c>
      <c r="K29" s="93">
        <f>SUM(K30:K36)</f>
        <v>40.02889716462968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267</v>
      </c>
      <c r="F30" s="39" t="s">
        <v>44</v>
      </c>
      <c r="G30" s="36">
        <f>7407242.16+3575979.58</f>
        <v>10983221.74</v>
      </c>
      <c r="H30" s="36">
        <f>307000+1294462.83+741185+9000+31500+94500</f>
        <v>2477647.83</v>
      </c>
      <c r="I30" s="36"/>
      <c r="J30" s="36">
        <f aca="true" t="shared" si="2" ref="J30:J36">SUBTOTAL(9,G30:I30)</f>
        <v>13460869.57</v>
      </c>
      <c r="K30" s="83">
        <f aca="true" t="shared" si="3" ref="K30:K36">_xlfn.IFERROR(J30/$J$19*100,"0.00")</f>
        <v>35.36386047728491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268</v>
      </c>
      <c r="F31" s="39" t="s">
        <v>45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269</v>
      </c>
      <c r="F32" s="39" t="s">
        <v>21</v>
      </c>
      <c r="G32" s="36"/>
      <c r="H32" s="36">
        <v>163196.69</v>
      </c>
      <c r="I32" s="36"/>
      <c r="J32" s="36">
        <f t="shared" si="2"/>
        <v>163196.69</v>
      </c>
      <c r="K32" s="83">
        <f t="shared" si="3"/>
        <v>0.42874384492789624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270</v>
      </c>
      <c r="F33" s="39" t="s">
        <v>46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274</v>
      </c>
      <c r="F34" s="39" t="s">
        <v>47</v>
      </c>
      <c r="G34" s="36"/>
      <c r="H34" s="36">
        <v>1612498.88</v>
      </c>
      <c r="I34" s="36"/>
      <c r="J34" s="36">
        <f t="shared" si="2"/>
        <v>1612498.88</v>
      </c>
      <c r="K34" s="83">
        <f t="shared" si="3"/>
        <v>4.236292842416879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48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49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267</v>
      </c>
      <c r="F38" s="39" t="s">
        <v>49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267</v>
      </c>
      <c r="F40" s="39" t="s">
        <v>294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45952.12</v>
      </c>
      <c r="I41" s="57">
        <f>SUM(I42:I45)</f>
        <v>0</v>
      </c>
      <c r="J41" s="57">
        <f>SUM(J42:J45)</f>
        <v>45952.12</v>
      </c>
      <c r="K41" s="93">
        <f>SUM(K42:K45)</f>
        <v>0.12072357969630439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267</v>
      </c>
      <c r="F42" s="40" t="s">
        <v>295</v>
      </c>
      <c r="G42" s="36"/>
      <c r="H42" s="36">
        <v>45952.12</v>
      </c>
      <c r="I42" s="36"/>
      <c r="J42" s="36">
        <f>SUBTOTAL(9,G42:I42)</f>
        <v>45952.12</v>
      </c>
      <c r="K42" s="83">
        <f>_xlfn.IFERROR(J42/$J$19*100,"0.00")</f>
        <v>0.12072357969630439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268</v>
      </c>
      <c r="F43" s="39" t="s">
        <v>50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269</v>
      </c>
      <c r="F44" s="39" t="s">
        <v>296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270</v>
      </c>
      <c r="F45" s="39" t="s">
        <v>271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15920.63</v>
      </c>
      <c r="I46" s="57">
        <f>I47</f>
        <v>0</v>
      </c>
      <c r="J46" s="57">
        <f>J47</f>
        <v>15920.63</v>
      </c>
      <c r="K46" s="93">
        <f>K47</f>
        <v>0.04182604512306231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267</v>
      </c>
      <c r="F47" s="39" t="s">
        <v>297</v>
      </c>
      <c r="G47" s="36"/>
      <c r="H47" s="36">
        <v>15920.63</v>
      </c>
      <c r="I47" s="36"/>
      <c r="J47" s="36">
        <f>SUBTOTAL(9,G47:I47)</f>
        <v>15920.63</v>
      </c>
      <c r="K47" s="83">
        <f>_xlfn.IFERROR(J47/$J$19*100,"0.00")</f>
        <v>0.04182604512306231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586213.25</v>
      </c>
      <c r="I48" s="63">
        <f>+I49+I51+I62</f>
        <v>0</v>
      </c>
      <c r="J48" s="63">
        <f>+J49+J51+J62</f>
        <v>586213.25</v>
      </c>
      <c r="K48" s="92">
        <f>+K49+K51+K62</f>
        <v>1.5400761054202634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51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267</v>
      </c>
      <c r="F50" s="39" t="s">
        <v>51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52</v>
      </c>
      <c r="G51" s="57">
        <f>SUM(G52:G61)</f>
        <v>0</v>
      </c>
      <c r="H51" s="57">
        <f>SUM(H52:H61)</f>
        <v>586213.25</v>
      </c>
      <c r="I51" s="57">
        <f>SUM(I52:I61)</f>
        <v>0</v>
      </c>
      <c r="J51" s="57">
        <f>SUM(J52:J61)</f>
        <v>586213.25</v>
      </c>
      <c r="K51" s="93">
        <f>SUM(K52:K61)</f>
        <v>1.5400761054202634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267</v>
      </c>
      <c r="F52" s="39" t="s">
        <v>53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268</v>
      </c>
      <c r="F53" s="39" t="s">
        <v>54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12.75">
      <c r="A54" s="37">
        <v>2</v>
      </c>
      <c r="B54" s="38">
        <v>1</v>
      </c>
      <c r="C54" s="38">
        <v>2</v>
      </c>
      <c r="D54" s="38">
        <v>2</v>
      </c>
      <c r="E54" s="38" t="s">
        <v>269</v>
      </c>
      <c r="F54" s="41" t="s">
        <v>55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270</v>
      </c>
      <c r="F55" s="39" t="s">
        <v>56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274</v>
      </c>
      <c r="F56" s="39" t="s">
        <v>57</v>
      </c>
      <c r="G56" s="36"/>
      <c r="H56" s="36">
        <v>207388.25</v>
      </c>
      <c r="I56" s="36"/>
      <c r="J56" s="36">
        <f t="shared" si="4"/>
        <v>207388.25</v>
      </c>
      <c r="K56" s="83">
        <f t="shared" si="5"/>
        <v>0.5448421515036106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58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59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60</v>
      </c>
      <c r="G59" s="36"/>
      <c r="H59" s="36">
        <v>378825</v>
      </c>
      <c r="I59" s="36"/>
      <c r="J59" s="36">
        <f t="shared" si="4"/>
        <v>378825</v>
      </c>
      <c r="K59" s="83">
        <f t="shared" si="5"/>
        <v>0.9952339539166528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61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62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267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63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267</v>
      </c>
      <c r="F66" s="44" t="s">
        <v>64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268</v>
      </c>
      <c r="F67" s="44" t="s">
        <v>65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66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267</v>
      </c>
      <c r="F69" s="44" t="s">
        <v>67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268</v>
      </c>
      <c r="F70" s="44" t="s">
        <v>68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267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72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267</v>
      </c>
      <c r="F75" s="39" t="s">
        <v>69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268</v>
      </c>
      <c r="F76" s="39" t="s">
        <v>70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269</v>
      </c>
      <c r="F77" s="39" t="s">
        <v>71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270</v>
      </c>
      <c r="F78" s="39" t="s">
        <v>301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302</v>
      </c>
      <c r="G79" s="63">
        <f>G80+G82+G84+G86</f>
        <v>3044013.75</v>
      </c>
      <c r="H79" s="63">
        <f>H80+H82+H84+H86</f>
        <v>0</v>
      </c>
      <c r="I79" s="63">
        <f>I80+I82+I84+I86</f>
        <v>0</v>
      </c>
      <c r="J79" s="63">
        <f>J80+J82+J84+J86</f>
        <v>3044013.75</v>
      </c>
      <c r="K79" s="92">
        <f>K80+K82+K84+K86</f>
        <v>7.997111701152664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73</v>
      </c>
      <c r="G80" s="57">
        <f>G81</f>
        <v>1408693.24</v>
      </c>
      <c r="H80" s="57">
        <f>H81</f>
        <v>0</v>
      </c>
      <c r="I80" s="57">
        <f>I81</f>
        <v>0</v>
      </c>
      <c r="J80" s="57">
        <f>J81</f>
        <v>1408693.24</v>
      </c>
      <c r="K80" s="93">
        <f>K81</f>
        <v>3.700862781233711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267</v>
      </c>
      <c r="F81" s="39" t="s">
        <v>73</v>
      </c>
      <c r="G81" s="36">
        <v>1408693.24</v>
      </c>
      <c r="H81" s="36"/>
      <c r="I81" s="36"/>
      <c r="J81" s="36">
        <f>SUBTOTAL(9,G81:I81)</f>
        <v>1408693.24</v>
      </c>
      <c r="K81" s="83">
        <f>_xlfn.IFERROR(J81/$J$19*100,"0.00")</f>
        <v>3.700862781233711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74</v>
      </c>
      <c r="G82" s="57">
        <f>G83</f>
        <v>1410680.06</v>
      </c>
      <c r="H82" s="57">
        <f>H83</f>
        <v>0</v>
      </c>
      <c r="I82" s="57">
        <f>I83</f>
        <v>0</v>
      </c>
      <c r="J82" s="57">
        <f>J83</f>
        <v>1410680.06</v>
      </c>
      <c r="K82" s="93">
        <f>K83</f>
        <v>3.7060824756158683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267</v>
      </c>
      <c r="F83" s="39" t="s">
        <v>74</v>
      </c>
      <c r="G83" s="36">
        <v>1410680.06</v>
      </c>
      <c r="H83" s="36"/>
      <c r="I83" s="36"/>
      <c r="J83" s="36">
        <f>SUBTOTAL(9,G83:I83)</f>
        <v>1410680.06</v>
      </c>
      <c r="K83" s="83">
        <f>_xlfn.IFERROR(J83/$J$19*100,"0.00")</f>
        <v>3.7060824756158683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75</v>
      </c>
      <c r="G84" s="57">
        <f>G85</f>
        <v>224640.45</v>
      </c>
      <c r="H84" s="57">
        <f>H85</f>
        <v>0</v>
      </c>
      <c r="I84" s="57">
        <f>I85</f>
        <v>0</v>
      </c>
      <c r="J84" s="57">
        <f>J85</f>
        <v>224640.45</v>
      </c>
      <c r="K84" s="93">
        <f>K85</f>
        <v>0.590166444303085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267</v>
      </c>
      <c r="F85" s="39" t="s">
        <v>75</v>
      </c>
      <c r="G85" s="36">
        <v>224640.45</v>
      </c>
      <c r="H85" s="36"/>
      <c r="I85" s="36"/>
      <c r="J85" s="36">
        <f>SUBTOTAL(9,G85:I85)</f>
        <v>224640.45</v>
      </c>
      <c r="K85" s="83">
        <f>_xlfn.IFERROR(J85/$J$19*100,"0.00")</f>
        <v>0.590166444303085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76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267</v>
      </c>
      <c r="F87" s="39" t="s">
        <v>76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303</v>
      </c>
      <c r="G88" s="70">
        <f>+G89+G107+G112+G117+G126+G147+G166+G184</f>
        <v>0</v>
      </c>
      <c r="H88" s="70">
        <f>+H89+H107+H112+H117+H126+H147+H166+H184</f>
        <v>1997947.04</v>
      </c>
      <c r="I88" s="70">
        <f>+I89+I107+I112+I117+I126+I147+I166+I184</f>
        <v>0</v>
      </c>
      <c r="J88" s="70">
        <f>+J89+J107+J112+J117+J126+J166+J184</f>
        <v>1992472.04</v>
      </c>
      <c r="K88" s="91">
        <f>+K89+K107+K112+K117+K126+K147+K166+K184</f>
        <v>5.248926898529065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284998.91000000003</v>
      </c>
      <c r="I89" s="63">
        <f>+I90+I92+I94+I96+I98+I100+I103+I105</f>
        <v>0</v>
      </c>
      <c r="J89" s="63">
        <f>+J90+J92+J94+J96+J98+J100+J103+J105</f>
        <v>284998.91000000003</v>
      </c>
      <c r="K89" s="92">
        <f>+K90+K92+K94+K96+K98+K100+K103+K105</f>
        <v>0.7487377867385634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77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267</v>
      </c>
      <c r="F91" s="44" t="s">
        <v>77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78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267</v>
      </c>
      <c r="F93" s="44" t="s">
        <v>78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79</v>
      </c>
      <c r="G94" s="57">
        <f>G95</f>
        <v>0</v>
      </c>
      <c r="H94" s="57">
        <f>H95</f>
        <v>63505.83</v>
      </c>
      <c r="I94" s="57">
        <f>I95</f>
        <v>0</v>
      </c>
      <c r="J94" s="57">
        <f>J95</f>
        <v>63505.83</v>
      </c>
      <c r="K94" s="93">
        <f>K95</f>
        <v>0.16683998756063828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267</v>
      </c>
      <c r="F95" s="39" t="s">
        <v>79</v>
      </c>
      <c r="G95" s="36"/>
      <c r="H95" s="36">
        <f>32618.69+30887.14</f>
        <v>63505.83</v>
      </c>
      <c r="I95" s="36"/>
      <c r="J95" s="36">
        <f>SUBTOTAL(9,G95:I95)</f>
        <v>63505.83</v>
      </c>
      <c r="K95" s="83">
        <f>_xlfn.IFERROR(J95/$J$19*100,"0.00")</f>
        <v>0.16683998756063828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80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267</v>
      </c>
      <c r="F97" s="44" t="s">
        <v>80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81</v>
      </c>
      <c r="G98" s="57">
        <f>G99</f>
        <v>0</v>
      </c>
      <c r="H98" s="57">
        <f>H99</f>
        <v>95443.08</v>
      </c>
      <c r="I98" s="57">
        <f>I99</f>
        <v>0</v>
      </c>
      <c r="J98" s="57">
        <f>J99</f>
        <v>95443.08</v>
      </c>
      <c r="K98" s="93">
        <f>K99</f>
        <v>0.2507442589121188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267</v>
      </c>
      <c r="F99" s="44" t="s">
        <v>81</v>
      </c>
      <c r="G99" s="36"/>
      <c r="H99" s="36">
        <v>95443.08</v>
      </c>
      <c r="I99" s="36"/>
      <c r="J99" s="36">
        <f>SUBTOTAL(9,G99:I99)</f>
        <v>95443.08</v>
      </c>
      <c r="K99" s="83">
        <f>_xlfn.IFERROR(J99/$J$19*100,"0.00")</f>
        <v>0.2507442589121188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267</v>
      </c>
      <c r="F101" s="44" t="s">
        <v>82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268</v>
      </c>
      <c r="F102" s="44" t="s">
        <v>83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267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84</v>
      </c>
      <c r="G105" s="57">
        <f>G106</f>
        <v>0</v>
      </c>
      <c r="H105" s="57">
        <f>H106</f>
        <v>126050</v>
      </c>
      <c r="I105" s="57">
        <f>I106</f>
        <v>0</v>
      </c>
      <c r="J105" s="57">
        <f>J106</f>
        <v>126050</v>
      </c>
      <c r="K105" s="93">
        <f>K106</f>
        <v>0.33115354026580635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267</v>
      </c>
      <c r="F106" s="39" t="s">
        <v>84</v>
      </c>
      <c r="G106" s="36"/>
      <c r="H106" s="36">
        <v>126050</v>
      </c>
      <c r="I106" s="36"/>
      <c r="J106" s="36">
        <f>SUBTOTAL(9,G106:I106)</f>
        <v>126050</v>
      </c>
      <c r="K106" s="83">
        <f>_xlfn.IFERROR(J106/$J$19*100,"0.00")</f>
        <v>0.33115354026580635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304</v>
      </c>
      <c r="G107" s="63">
        <f>+G108+G110</f>
        <v>0</v>
      </c>
      <c r="H107" s="63">
        <f>+H108+H110</f>
        <v>171760</v>
      </c>
      <c r="I107" s="63">
        <f>+I108+I110</f>
        <v>0</v>
      </c>
      <c r="J107" s="63">
        <f>+J108+J110</f>
        <v>171760</v>
      </c>
      <c r="K107" s="92">
        <f>+K108+K110</f>
        <v>0.451241031940142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85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267</v>
      </c>
      <c r="F109" s="39" t="s">
        <v>85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86</v>
      </c>
      <c r="G110" s="57">
        <f>G111</f>
        <v>0</v>
      </c>
      <c r="H110" s="57">
        <f>H111</f>
        <v>171760</v>
      </c>
      <c r="I110" s="57">
        <f>I111</f>
        <v>0</v>
      </c>
      <c r="J110" s="57">
        <f>J111</f>
        <v>171760</v>
      </c>
      <c r="K110" s="93">
        <f>K111</f>
        <v>0.451241031940142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267</v>
      </c>
      <c r="F111" s="39" t="s">
        <v>86</v>
      </c>
      <c r="G111" s="36"/>
      <c r="H111" s="36">
        <v>171760</v>
      </c>
      <c r="I111" s="36"/>
      <c r="J111" s="36">
        <f>SUBTOTAL(9,G111:I111)</f>
        <v>171760</v>
      </c>
      <c r="K111" s="83">
        <f>_xlfn.IFERROR(J111/$J$19*100,"0.00")</f>
        <v>0.451241031940142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87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267</v>
      </c>
      <c r="F114" s="39" t="s">
        <v>87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88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267</v>
      </c>
      <c r="F116" s="44" t="s">
        <v>88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89</v>
      </c>
      <c r="G117" s="63">
        <f>+G118+G120+G122+G124</f>
        <v>0</v>
      </c>
      <c r="H117" s="63">
        <f>+H118+H120+H122+H124</f>
        <v>23450</v>
      </c>
      <c r="I117" s="63">
        <f>+I118+I120+I122+I124</f>
        <v>0</v>
      </c>
      <c r="J117" s="63">
        <f>+J118+J120+J122+J124</f>
        <v>23450</v>
      </c>
      <c r="K117" s="92">
        <f>+K118+K120+K122+K124</f>
        <v>0.061606906142270206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50</v>
      </c>
      <c r="I118" s="57">
        <f>I119</f>
        <v>0</v>
      </c>
      <c r="J118" s="57">
        <f>J119</f>
        <v>50</v>
      </c>
      <c r="K118" s="93">
        <f>K119</f>
        <v>0.00013135800883213263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267</v>
      </c>
      <c r="F119" s="39" t="s">
        <v>10</v>
      </c>
      <c r="G119" s="36"/>
      <c r="H119" s="36">
        <v>50</v>
      </c>
      <c r="I119" s="36"/>
      <c r="J119" s="36">
        <f>SUBTOTAL(9,G119:I119)</f>
        <v>50</v>
      </c>
      <c r="K119" s="83">
        <f>_xlfn.IFERROR(J119/$J$19*100,"0.00")</f>
        <v>0.00013135800883213263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23400</v>
      </c>
      <c r="I120" s="57">
        <f>I121</f>
        <v>0</v>
      </c>
      <c r="J120" s="57">
        <f>J121</f>
        <v>23400</v>
      </c>
      <c r="K120" s="93">
        <f>K121</f>
        <v>0.06147554813343807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267</v>
      </c>
      <c r="F121" s="44" t="s">
        <v>11</v>
      </c>
      <c r="G121" s="36"/>
      <c r="H121" s="36">
        <v>23400</v>
      </c>
      <c r="I121" s="36"/>
      <c r="J121" s="36">
        <f>SUBTOTAL(9,G121:I121)</f>
        <v>23400</v>
      </c>
      <c r="K121" s="83">
        <f>_xlfn.IFERROR(J121/$J$19*100,"0.00")</f>
        <v>0.06147554813343807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267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90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267</v>
      </c>
      <c r="F125" s="44" t="s">
        <v>90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91</v>
      </c>
      <c r="G126" s="63">
        <f>+G127+G129+G131+G137+G139+G141+G143+G145</f>
        <v>0</v>
      </c>
      <c r="H126" s="63">
        <f>+H127+H129+H131+H137+H139+H141+H143+H145</f>
        <v>153004.76</v>
      </c>
      <c r="I126" s="63">
        <f>+I127+I129+I131+I137+I139+I141+I143+I145</f>
        <v>0</v>
      </c>
      <c r="J126" s="63">
        <f>+J127+J129+J131+J137+J139+J141+J143+J145</f>
        <v>153004.76</v>
      </c>
      <c r="K126" s="92">
        <f>+K127+K129+K131+K137+K139+K141+K143+K145</f>
        <v>0.4019680123087667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92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267</v>
      </c>
      <c r="F128" s="44" t="s">
        <v>92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93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267</v>
      </c>
      <c r="F130" s="44" t="s">
        <v>93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94</v>
      </c>
      <c r="G131" s="57">
        <f>SUM(G132:G136)</f>
        <v>0</v>
      </c>
      <c r="H131" s="57">
        <f>SUM(H132:H136)</f>
        <v>153004.76</v>
      </c>
      <c r="I131" s="57">
        <f>SUM(I132:I136)</f>
        <v>0</v>
      </c>
      <c r="J131" s="57">
        <f>SUM(J132:J136)</f>
        <v>153004.76</v>
      </c>
      <c r="K131" s="93">
        <f>SUM(K132:K136)</f>
        <v>0.4019680123087667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267</v>
      </c>
      <c r="F132" s="44" t="s">
        <v>95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268</v>
      </c>
      <c r="F133" s="44" t="s">
        <v>96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269</v>
      </c>
      <c r="F134" s="44" t="s">
        <v>97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270</v>
      </c>
      <c r="F135" s="44" t="s">
        <v>98</v>
      </c>
      <c r="G135" s="36"/>
      <c r="H135" s="36">
        <v>153004.76</v>
      </c>
      <c r="I135" s="36"/>
      <c r="J135" s="36">
        <f>SUBTOTAL(9,G135:I135)</f>
        <v>153004.76</v>
      </c>
      <c r="K135" s="83">
        <f>_xlfn.IFERROR(J135/$J$19*100,"0.00")</f>
        <v>0.4019680123087667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274</v>
      </c>
      <c r="F136" s="44" t="s">
        <v>99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100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267</v>
      </c>
      <c r="F138" s="44" t="s">
        <v>100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267</v>
      </c>
      <c r="F140" s="44" t="s">
        <v>305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267</v>
      </c>
      <c r="F142" s="44" t="s">
        <v>306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267</v>
      </c>
      <c r="F144" s="44" t="s">
        <v>307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101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267</v>
      </c>
      <c r="F146" s="44" t="s">
        <v>101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102</v>
      </c>
      <c r="G147" s="63">
        <f>+G148+G150+G152+G154+G156+G158+G160+G162+G164</f>
        <v>0</v>
      </c>
      <c r="H147" s="63">
        <f>+H148+H150+H152+H154+H156+H158+H160+H162+H164</f>
        <v>5475</v>
      </c>
      <c r="I147" s="63">
        <f>+I148+I150+I152+I154+I156+I158+I160+I162+I164</f>
        <v>0</v>
      </c>
      <c r="J147" s="63">
        <f>+J148+J150+J152+J154+J156+J158+J160+J162+J164</f>
        <v>5475</v>
      </c>
      <c r="K147" s="92">
        <f>+K148+K150+K152+K154+K156+K158+K160+K162+K164</f>
        <v>0.014383701967118523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267</v>
      </c>
      <c r="F149" s="44" t="s">
        <v>308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103</v>
      </c>
      <c r="G150" s="57">
        <f>G151</f>
        <v>0</v>
      </c>
      <c r="H150" s="57">
        <f>H151</f>
        <v>900</v>
      </c>
      <c r="I150" s="57">
        <f>I151</f>
        <v>0</v>
      </c>
      <c r="J150" s="57">
        <f>J151</f>
        <v>900</v>
      </c>
      <c r="K150" s="93">
        <f>K151</f>
        <v>0.002364444158978387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267</v>
      </c>
      <c r="F151" s="44" t="s">
        <v>103</v>
      </c>
      <c r="G151" s="36"/>
      <c r="H151" s="36">
        <v>900</v>
      </c>
      <c r="I151" s="36"/>
      <c r="J151" s="36">
        <f>SUBTOTAL(9,G151:I151)</f>
        <v>900</v>
      </c>
      <c r="K151" s="83">
        <f>_xlfn.IFERROR(J151/$J$19*100,"0.00")</f>
        <v>0.002364444158978387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104</v>
      </c>
      <c r="G152" s="57">
        <f>G153</f>
        <v>0</v>
      </c>
      <c r="H152" s="57">
        <f>H153</f>
        <v>4575</v>
      </c>
      <c r="I152" s="57">
        <f>I153</f>
        <v>0</v>
      </c>
      <c r="J152" s="57">
        <f>J153</f>
        <v>4575</v>
      </c>
      <c r="K152" s="93">
        <f>K153</f>
        <v>0.012019257808140135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267</v>
      </c>
      <c r="F153" s="44" t="s">
        <v>104</v>
      </c>
      <c r="G153" s="36"/>
      <c r="H153" s="36">
        <v>4575</v>
      </c>
      <c r="I153" s="36"/>
      <c r="J153" s="36">
        <f>SUBTOTAL(9,G153:I153)</f>
        <v>4575</v>
      </c>
      <c r="K153" s="83">
        <f>_xlfn.IFERROR(J153/$J$19*100,"0.00")</f>
        <v>0.012019257808140135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105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267</v>
      </c>
      <c r="F155" s="44" t="s">
        <v>105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272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267</v>
      </c>
      <c r="F157" s="44" t="s">
        <v>272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267</v>
      </c>
      <c r="F159" s="44" t="s">
        <v>309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267</v>
      </c>
      <c r="F161" s="44" t="s">
        <v>310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267</v>
      </c>
      <c r="F163" s="44" t="s">
        <v>311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273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267</v>
      </c>
      <c r="F165" s="44" t="s">
        <v>273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106</v>
      </c>
      <c r="G166" s="63">
        <f>+G167+G175+G182</f>
        <v>0</v>
      </c>
      <c r="H166" s="63">
        <f>+H167+H175+H182</f>
        <v>308293.09</v>
      </c>
      <c r="I166" s="63">
        <f>+I167+I175+I182</f>
        <v>0</v>
      </c>
      <c r="J166" s="63">
        <f>+J167+J175+J182</f>
        <v>308293.09</v>
      </c>
      <c r="K166" s="92">
        <f>+K167+K175+K182</f>
        <v>0.8099353287821092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94637.5</v>
      </c>
      <c r="I167" s="57">
        <f>SUM(I168:I174)</f>
        <v>0</v>
      </c>
      <c r="J167" s="57">
        <f>SUM(J168:J174)</f>
        <v>94637.5</v>
      </c>
      <c r="K167" s="93">
        <f>SUM(K168:K174)</f>
        <v>0.24862787121701907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267</v>
      </c>
      <c r="F168" s="50" t="s">
        <v>107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268</v>
      </c>
      <c r="F169" s="50" t="s">
        <v>108</v>
      </c>
      <c r="G169" s="36"/>
      <c r="H169" s="36">
        <v>94637.5</v>
      </c>
      <c r="I169" s="36"/>
      <c r="J169" s="36">
        <f t="shared" si="6"/>
        <v>94637.5</v>
      </c>
      <c r="K169" s="83">
        <f t="shared" si="7"/>
        <v>0.24862787121701907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269</v>
      </c>
      <c r="F170" s="50" t="s">
        <v>109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270</v>
      </c>
      <c r="F171" s="50" t="s">
        <v>110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274</v>
      </c>
      <c r="F172" s="50" t="s">
        <v>111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112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113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213655.59000000003</v>
      </c>
      <c r="I175" s="57">
        <f>SUM(I176:I181)</f>
        <v>0</v>
      </c>
      <c r="J175" s="57">
        <f>SUM(J176:J181)</f>
        <v>213655.59000000003</v>
      </c>
      <c r="K175" s="93">
        <f>SUM(K176:K181)</f>
        <v>0.5613074575650902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267</v>
      </c>
      <c r="F176" s="50" t="s">
        <v>314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268</v>
      </c>
      <c r="F177" s="50" t="s">
        <v>114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269</v>
      </c>
      <c r="F178" s="50" t="s">
        <v>315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270</v>
      </c>
      <c r="F179" s="50" t="s">
        <v>115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274</v>
      </c>
      <c r="F180" s="100" t="s">
        <v>275</v>
      </c>
      <c r="G180" s="88"/>
      <c r="H180" s="88">
        <v>90400</v>
      </c>
      <c r="I180" s="88"/>
      <c r="J180" s="88">
        <f t="shared" si="8"/>
        <v>90400</v>
      </c>
      <c r="K180" s="89">
        <f t="shared" si="9"/>
        <v>0.23749527996849581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116</v>
      </c>
      <c r="G181" s="36"/>
      <c r="H181" s="36">
        <f>5401.27+117854.32</f>
        <v>123255.59000000001</v>
      </c>
      <c r="I181" s="36"/>
      <c r="J181" s="36">
        <f t="shared" si="8"/>
        <v>123255.59000000001</v>
      </c>
      <c r="K181" s="83">
        <f t="shared" si="9"/>
        <v>0.32381217759659436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117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267</v>
      </c>
      <c r="F183" s="35" t="s">
        <v>117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316</v>
      </c>
      <c r="G184" s="63">
        <f>+G185+G187+G189+G191+G193+G197+G202+G209+G213</f>
        <v>0</v>
      </c>
      <c r="H184" s="63">
        <f>+H185+H187+H189+H191+H193+H197+H202+H209+H213</f>
        <v>1050965.28</v>
      </c>
      <c r="I184" s="63">
        <f>+I185+I187+I189+I191+I193+I197+I202+I209+I213</f>
        <v>0</v>
      </c>
      <c r="J184" s="63">
        <f>+J185+J187+J189+J191+J193+J197+J202+J209+J213</f>
        <v>1050965.28</v>
      </c>
      <c r="K184" s="92">
        <f>+K185+K187+K189+K191+K193+K197+K202+K209+K213</f>
        <v>2.761054130650095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118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267</v>
      </c>
      <c r="F186" s="35" t="s">
        <v>118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119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267</v>
      </c>
      <c r="F188" s="35" t="s">
        <v>119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120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267</v>
      </c>
      <c r="F190" s="51" t="s">
        <v>120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121</v>
      </c>
      <c r="G191" s="57">
        <f>G192</f>
        <v>0</v>
      </c>
      <c r="H191" s="57">
        <f>H192</f>
        <v>3500</v>
      </c>
      <c r="I191" s="57">
        <f>I192</f>
        <v>0</v>
      </c>
      <c r="J191" s="57">
        <f>J192</f>
        <v>3500</v>
      </c>
      <c r="K191" s="93">
        <f>K192</f>
        <v>0.009195060618249285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267</v>
      </c>
      <c r="F192" s="35" t="s">
        <v>121</v>
      </c>
      <c r="G192" s="36"/>
      <c r="H192" s="36">
        <v>3500</v>
      </c>
      <c r="I192" s="36"/>
      <c r="J192" s="36">
        <f>SUBTOTAL(9,G192:I192)</f>
        <v>3500</v>
      </c>
      <c r="K192" s="83">
        <f>_xlfn.IFERROR(J192/$J$19*100,"0.00")</f>
        <v>0.009195060618249285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122</v>
      </c>
      <c r="G193" s="57">
        <f>SUM(G194:G196)</f>
        <v>0</v>
      </c>
      <c r="H193" s="57">
        <f>SUM(H194:H196)</f>
        <v>100845.72</v>
      </c>
      <c r="I193" s="57">
        <f>SUM(I194:I196)</f>
        <v>0</v>
      </c>
      <c r="J193" s="57">
        <f>SUM(J194:J196)</f>
        <v>100845.72</v>
      </c>
      <c r="K193" s="93">
        <f>SUM(K194:K196)</f>
        <v>0.2649378595688555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267</v>
      </c>
      <c r="F194" s="35" t="s">
        <v>123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268</v>
      </c>
      <c r="F195" s="35" t="s">
        <v>124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269</v>
      </c>
      <c r="F196" s="35" t="s">
        <v>276</v>
      </c>
      <c r="G196" s="36"/>
      <c r="H196" s="36">
        <v>100845.72</v>
      </c>
      <c r="I196" s="36"/>
      <c r="J196" s="36">
        <f>SUBTOTAL(9,G196:I196)</f>
        <v>100845.72</v>
      </c>
      <c r="K196" s="83">
        <f>_xlfn.IFERROR(J196/$J$19*100,"0.00")</f>
        <v>0.2649378595688555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125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267</v>
      </c>
      <c r="F198" s="35" t="s">
        <v>317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268</v>
      </c>
      <c r="F199" s="35" t="s">
        <v>126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269</v>
      </c>
      <c r="F200" s="35" t="s">
        <v>127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270</v>
      </c>
      <c r="F201" s="35" t="s">
        <v>128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129</v>
      </c>
      <c r="G202" s="57">
        <f>SUM(G203:G208)</f>
        <v>0</v>
      </c>
      <c r="H202" s="57">
        <f>SUM(H203:H208)</f>
        <v>841021.67</v>
      </c>
      <c r="I202" s="57">
        <f>SUM(I203:I208)</f>
        <v>0</v>
      </c>
      <c r="J202" s="57">
        <f>SUM(J203:J208)</f>
        <v>841021.67</v>
      </c>
      <c r="K202" s="93">
        <f>SUM(K203:K208)</f>
        <v>2.209498639117499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267</v>
      </c>
      <c r="F203" s="51" t="s">
        <v>318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268</v>
      </c>
      <c r="F204" s="51" t="s">
        <v>130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269</v>
      </c>
      <c r="F205" s="51" t="s">
        <v>131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270</v>
      </c>
      <c r="F206" s="51" t="s">
        <v>132</v>
      </c>
      <c r="G206" s="36"/>
      <c r="H206" s="36">
        <v>19900</v>
      </c>
      <c r="I206" s="36"/>
      <c r="J206" s="36">
        <f t="shared" si="10"/>
        <v>19900</v>
      </c>
      <c r="K206" s="83">
        <f t="shared" si="11"/>
        <v>0.05228048751518879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274</v>
      </c>
      <c r="F207" s="51" t="s">
        <v>133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134</v>
      </c>
      <c r="G208" s="36"/>
      <c r="H208" s="36">
        <f>128573.49+692548.18</f>
        <v>821121.67</v>
      </c>
      <c r="I208" s="36"/>
      <c r="J208" s="36">
        <f t="shared" si="10"/>
        <v>821121.67</v>
      </c>
      <c r="K208" s="83">
        <f t="shared" si="11"/>
        <v>2.15721815160231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135</v>
      </c>
      <c r="G209" s="57">
        <f>SUM(G210:G212)</f>
        <v>0</v>
      </c>
      <c r="H209" s="57">
        <f>SUM(H210:H212)</f>
        <v>105597.89</v>
      </c>
      <c r="I209" s="57">
        <f>SUM(I210:I212)</f>
        <v>0</v>
      </c>
      <c r="J209" s="57">
        <f>SUM(J210:J212)</f>
        <v>105597.89</v>
      </c>
      <c r="K209" s="93">
        <f>SUM(K210:K212)</f>
        <v>0.2774225713454914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267</v>
      </c>
      <c r="F210" s="51" t="s">
        <v>136</v>
      </c>
      <c r="G210" s="36"/>
      <c r="H210" s="36">
        <v>105597.89</v>
      </c>
      <c r="I210" s="36"/>
      <c r="J210" s="36">
        <f>SUBTOTAL(9,G210:I210)</f>
        <v>105597.89</v>
      </c>
      <c r="K210" s="83">
        <f>_xlfn.IFERROR(J210/$J$19*100,"0.00")</f>
        <v>0.2774225713454914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268</v>
      </c>
      <c r="F211" s="51" t="s">
        <v>137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269</v>
      </c>
      <c r="F212" s="51" t="s">
        <v>138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139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267</v>
      </c>
      <c r="F214" s="51" t="s">
        <v>277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268</v>
      </c>
      <c r="F215" s="51" t="s">
        <v>278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269</v>
      </c>
      <c r="F216" s="51" t="s">
        <v>319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270</v>
      </c>
      <c r="F217" s="51" t="s">
        <v>279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274</v>
      </c>
      <c r="F218" s="51" t="s">
        <v>140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7658338.89</v>
      </c>
      <c r="I219" s="70">
        <f>+I220+I232+I241+I254+I259+I270+I298+I314+I319</f>
        <v>0</v>
      </c>
      <c r="J219" s="70">
        <f>+J220+J232+J241+J254+J259+J270+J298+J314+J319</f>
        <v>7658338.89</v>
      </c>
      <c r="K219" s="91">
        <f>+K220+K232+K241+K254+K259+K270+K298+K314+K319</f>
        <v>20.119682951041696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920297.0800000001</v>
      </c>
      <c r="I220" s="63">
        <f>+I221+I224+I226+I230</f>
        <v>0</v>
      </c>
      <c r="J220" s="63">
        <f>+J221+J224+J226+J230</f>
        <v>920297.0800000001</v>
      </c>
      <c r="K220" s="92">
        <f>+K221+K224+K226+K230</f>
        <v>2.4177678392565176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141</v>
      </c>
      <c r="G221" s="57">
        <f>SUM(G222:G222)</f>
        <v>0</v>
      </c>
      <c r="H221" s="57">
        <f>SUM(H222:H222)</f>
        <v>920097.0800000001</v>
      </c>
      <c r="I221" s="57">
        <f>SUM(I222:I222)</f>
        <v>0</v>
      </c>
      <c r="J221" s="57">
        <f>SUM(J222:J222)</f>
        <v>920097.0800000001</v>
      </c>
      <c r="K221" s="93">
        <f>SUM(K222:K222)</f>
        <v>2.417242407221189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267</v>
      </c>
      <c r="F222" s="35" t="s">
        <v>141</v>
      </c>
      <c r="G222" s="36"/>
      <c r="H222" s="36">
        <f>191751.03+728346.05</f>
        <v>920097.0800000001</v>
      </c>
      <c r="I222" s="36"/>
      <c r="J222" s="36">
        <f>SUBTOTAL(9,G222:I222)</f>
        <v>920097.0800000001</v>
      </c>
      <c r="K222" s="83">
        <f>_xlfn.IFERROR(J222/$J$19*100,"0.00")</f>
        <v>2.417242407221189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268</v>
      </c>
      <c r="F223" s="35" t="s">
        <v>142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144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267</v>
      </c>
      <c r="F225" s="35" t="s">
        <v>144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143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267</v>
      </c>
      <c r="F227" s="35" t="s">
        <v>145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268</v>
      </c>
      <c r="F228" s="35" t="s">
        <v>146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269</v>
      </c>
      <c r="F229" s="35" t="s">
        <v>147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148</v>
      </c>
      <c r="G230" s="52">
        <f>+G231</f>
        <v>0</v>
      </c>
      <c r="H230" s="52">
        <f>+H231</f>
        <v>200</v>
      </c>
      <c r="I230" s="52">
        <f>+I231</f>
        <v>0</v>
      </c>
      <c r="J230" s="52">
        <f>+J231</f>
        <v>200</v>
      </c>
      <c r="K230" s="94">
        <f>+K231</f>
        <v>0.0005254320353285305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267</v>
      </c>
      <c r="F231" s="35" t="s">
        <v>148</v>
      </c>
      <c r="G231" s="47"/>
      <c r="H231" s="47">
        <v>200</v>
      </c>
      <c r="I231" s="47"/>
      <c r="J231" s="36">
        <f>SUBTOTAL(9,G231:I231)</f>
        <v>200</v>
      </c>
      <c r="K231" s="83">
        <f>_xlfn.IFERROR(J231/$J$19*100,"0.00")</f>
        <v>0.0005254320353285305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7495</v>
      </c>
      <c r="I232" s="63">
        <f>+I233+I235+I237+I239</f>
        <v>0</v>
      </c>
      <c r="J232" s="63">
        <f>+J233+J235+J237+J239</f>
        <v>7495</v>
      </c>
      <c r="K232" s="92">
        <f>+K233+K235+K237+K239</f>
        <v>0.019690565523936682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149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267</v>
      </c>
      <c r="F234" s="35" t="s">
        <v>149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150</v>
      </c>
      <c r="G235" s="52">
        <f>+G236</f>
        <v>0</v>
      </c>
      <c r="H235" s="52">
        <f>+H236</f>
        <v>7495</v>
      </c>
      <c r="I235" s="52">
        <f>+I236</f>
        <v>0</v>
      </c>
      <c r="J235" s="52">
        <f>+J236</f>
        <v>7495</v>
      </c>
      <c r="K235" s="94">
        <f>+K236</f>
        <v>0.019690565523936682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267</v>
      </c>
      <c r="F236" s="35" t="s">
        <v>150</v>
      </c>
      <c r="G236" s="47"/>
      <c r="H236" s="47">
        <f>3395+4100</f>
        <v>7495</v>
      </c>
      <c r="I236" s="47"/>
      <c r="J236" s="36">
        <f>SUBTOTAL(9,G236:I236)</f>
        <v>7495</v>
      </c>
      <c r="K236" s="83">
        <f>_xlfn.IFERROR(J236/$J$19*100,"0.00")</f>
        <v>0.019690565523936682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151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267</v>
      </c>
      <c r="F238" s="35" t="s">
        <v>151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267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320</v>
      </c>
      <c r="G241" s="63">
        <f>+G242+G244+G246+G248+G250+G252</f>
        <v>0</v>
      </c>
      <c r="H241" s="63">
        <f>+H242+H244+H246+H248+H250+H252</f>
        <v>81889.9</v>
      </c>
      <c r="I241" s="63">
        <f>+I242+I244+I246+I248+I250+I252</f>
        <v>0</v>
      </c>
      <c r="J241" s="63">
        <f>+J242+J244+J246+J248+J250+J252</f>
        <v>81889.9</v>
      </c>
      <c r="K241" s="92">
        <f>+K242+K244+K246+K248+K250+K252</f>
        <v>0.21513788414924914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152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267</v>
      </c>
      <c r="F243" s="35" t="s">
        <v>152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153</v>
      </c>
      <c r="G244" s="52">
        <f>+G245</f>
        <v>0</v>
      </c>
      <c r="H244" s="52">
        <f>+H245</f>
        <v>81889.9</v>
      </c>
      <c r="I244" s="52">
        <f>+I245</f>
        <v>0</v>
      </c>
      <c r="J244" s="52">
        <f>+J245</f>
        <v>81889.9</v>
      </c>
      <c r="K244" s="94">
        <f>+K245</f>
        <v>0.21513788414924914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267</v>
      </c>
      <c r="F245" s="35" t="s">
        <v>153</v>
      </c>
      <c r="G245" s="36"/>
      <c r="H245" s="36">
        <f>100+81789.9</f>
        <v>81889.9</v>
      </c>
      <c r="I245" s="36"/>
      <c r="J245" s="36">
        <f>SUBTOTAL(9,G245:I245)</f>
        <v>81889.9</v>
      </c>
      <c r="K245" s="83">
        <f>_xlfn.IFERROR(J245/$J$19*100,"0.00")</f>
        <v>0.21513788414924914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154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267</v>
      </c>
      <c r="F247" s="35" t="s">
        <v>154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155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267</v>
      </c>
      <c r="F249" s="35" t="s">
        <v>155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156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267</v>
      </c>
      <c r="F251" s="35" t="s">
        <v>156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157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267</v>
      </c>
      <c r="F253" s="35" t="s">
        <v>157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321</v>
      </c>
      <c r="G254" s="63">
        <f>+G255+G257</f>
        <v>0</v>
      </c>
      <c r="H254" s="63">
        <f>+H255+H257</f>
        <v>4028888.25</v>
      </c>
      <c r="I254" s="63">
        <f>+I255+I257</f>
        <v>0</v>
      </c>
      <c r="J254" s="63">
        <f>+J255+J257</f>
        <v>4028888.25</v>
      </c>
      <c r="K254" s="92">
        <f>+K255+K257</f>
        <v>10.584534766543507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158</v>
      </c>
      <c r="G255" s="52">
        <f>+G256</f>
        <v>0</v>
      </c>
      <c r="H255" s="52">
        <f>+H256</f>
        <v>4028888.25</v>
      </c>
      <c r="I255" s="52">
        <f>+I256</f>
        <v>0</v>
      </c>
      <c r="J255" s="52">
        <f>+J256</f>
        <v>4028888.25</v>
      </c>
      <c r="K255" s="94">
        <f>+K256</f>
        <v>10.584534766543507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267</v>
      </c>
      <c r="F256" s="35" t="s">
        <v>158</v>
      </c>
      <c r="G256" s="36"/>
      <c r="H256" s="36">
        <v>4028888.25</v>
      </c>
      <c r="I256" s="36"/>
      <c r="J256" s="36">
        <f>SUBTOTAL(9,G256:I256)</f>
        <v>4028888.25</v>
      </c>
      <c r="K256" s="83">
        <f>_xlfn.IFERROR(J256/$J$19*100,"0.00")</f>
        <v>10.584534766543507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159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267</v>
      </c>
      <c r="F258" s="35" t="s">
        <v>159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164</v>
      </c>
      <c r="G259" s="63">
        <f>+G260+G262+G264+G266+G268</f>
        <v>0</v>
      </c>
      <c r="H259" s="63">
        <f>+H260+H262+H264+H266+H268</f>
        <v>7694.8</v>
      </c>
      <c r="I259" s="63">
        <f>+I260+I262+I264+I266+I268</f>
        <v>0</v>
      </c>
      <c r="J259" s="63">
        <f>+J260+J262+J264+J266+J268</f>
        <v>7694.8</v>
      </c>
      <c r="K259" s="92">
        <f>+K260+K262+K264+K266+K268</f>
        <v>0.020215472127229885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160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267</v>
      </c>
      <c r="F261" s="35" t="s">
        <v>160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161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267</v>
      </c>
      <c r="F263" s="35" t="s">
        <v>161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162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267</v>
      </c>
      <c r="F265" s="35" t="s">
        <v>162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163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267</v>
      </c>
      <c r="F267" s="35" t="s">
        <v>163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7694.8</v>
      </c>
      <c r="I268" s="52">
        <f>+I269</f>
        <v>0</v>
      </c>
      <c r="J268" s="52">
        <f>+J269</f>
        <v>7694.8</v>
      </c>
      <c r="K268" s="94">
        <f>+K269</f>
        <v>0.020215472127229885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267</v>
      </c>
      <c r="F269" s="35" t="s">
        <v>165</v>
      </c>
      <c r="G269" s="36"/>
      <c r="H269" s="36">
        <v>7694.8</v>
      </c>
      <c r="I269" s="36"/>
      <c r="J269" s="36">
        <f>SUBTOTAL(9,G269:I269)</f>
        <v>7694.8</v>
      </c>
      <c r="K269" s="83">
        <f>_xlfn.IFERROR(J269/$J$19*100,"0.00")</f>
        <v>0.020215472127229885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166</v>
      </c>
      <c r="G270" s="63">
        <f>+G271+G277+G281+G288+G296</f>
        <v>0</v>
      </c>
      <c r="H270" s="63">
        <f>+H271+H277+H281+H288+H296</f>
        <v>42447.01</v>
      </c>
      <c r="I270" s="63">
        <f>+I271+I277+I281+I288+I296</f>
        <v>0</v>
      </c>
      <c r="J270" s="63">
        <f>+J271+J277+J281+J288+J296</f>
        <v>42447.01</v>
      </c>
      <c r="K270" s="63">
        <f>+K271+K277+K281+K288+K296</f>
        <v>0.11151509428955243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167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267</v>
      </c>
      <c r="F272" s="35" t="s">
        <v>168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268</v>
      </c>
      <c r="F273" s="35" t="s">
        <v>169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269</v>
      </c>
      <c r="F274" s="35" t="s">
        <v>170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270</v>
      </c>
      <c r="F275" s="35" t="s">
        <v>171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274</v>
      </c>
      <c r="F276" s="35" t="s">
        <v>172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173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267</v>
      </c>
      <c r="F278" s="35" t="s">
        <v>174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268</v>
      </c>
      <c r="F279" s="35" t="s">
        <v>175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269</v>
      </c>
      <c r="F280" s="35" t="s">
        <v>176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177</v>
      </c>
      <c r="G281" s="52">
        <f>+G282+G283+G284+G285+G286+G287</f>
        <v>0</v>
      </c>
      <c r="H281" s="52">
        <f>+H282+H283+H284+H285+H286+H287</f>
        <v>42447.01</v>
      </c>
      <c r="I281" s="52">
        <f>+I282+I283+I284+I285+I286+I287</f>
        <v>0</v>
      </c>
      <c r="J281" s="52">
        <f>+J282+J283+J284+J285+J286+J287</f>
        <v>42447.01</v>
      </c>
      <c r="K281" s="94">
        <f>+K282+K283+K284+K285+K286+K287</f>
        <v>0.11151509428955243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267</v>
      </c>
      <c r="F282" s="35" t="s">
        <v>178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268</v>
      </c>
      <c r="F283" s="35" t="s">
        <v>179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269</v>
      </c>
      <c r="F284" s="35" t="s">
        <v>180</v>
      </c>
      <c r="G284" s="36"/>
      <c r="H284" s="36">
        <v>8210.9</v>
      </c>
      <c r="I284" s="36"/>
      <c r="J284" s="36">
        <f t="shared" si="12"/>
        <v>8210.9</v>
      </c>
      <c r="K284" s="83">
        <f t="shared" si="13"/>
        <v>0.021571349494395157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270</v>
      </c>
      <c r="F285" s="51" t="s">
        <v>181</v>
      </c>
      <c r="G285" s="36"/>
      <c r="H285" s="36">
        <v>32066.11</v>
      </c>
      <c r="I285" s="36"/>
      <c r="J285" s="36">
        <f t="shared" si="12"/>
        <v>32066.11</v>
      </c>
      <c r="K285" s="83">
        <f t="shared" si="13"/>
        <v>0.08424280721184273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274</v>
      </c>
      <c r="F286" s="35" t="s">
        <v>182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183</v>
      </c>
      <c r="G287" s="47"/>
      <c r="H287" s="47">
        <v>2170</v>
      </c>
      <c r="I287" s="47"/>
      <c r="J287" s="36">
        <f t="shared" si="12"/>
        <v>2170</v>
      </c>
      <c r="K287" s="83">
        <f t="shared" si="13"/>
        <v>0.005700937583314557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267</v>
      </c>
      <c r="F289" s="35" t="s">
        <v>184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268</v>
      </c>
      <c r="F290" s="35" t="s">
        <v>185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269</v>
      </c>
      <c r="F291" s="35" t="s">
        <v>186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270</v>
      </c>
      <c r="F292" s="35" t="s">
        <v>187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274</v>
      </c>
      <c r="F293" s="35" t="s">
        <v>188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189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190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191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267</v>
      </c>
      <c r="F297" s="35" t="s">
        <v>191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323</v>
      </c>
      <c r="G298" s="63">
        <f>+G299+G307</f>
        <v>0</v>
      </c>
      <c r="H298" s="63">
        <f>+H299+H307</f>
        <v>661677.5</v>
      </c>
      <c r="I298" s="63">
        <f>+I299+I307</f>
        <v>0</v>
      </c>
      <c r="J298" s="63">
        <f>+J299+J307</f>
        <v>661677.5</v>
      </c>
      <c r="K298" s="92">
        <f>+K299+K307</f>
        <v>1.738332777780469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192</v>
      </c>
      <c r="G299" s="52">
        <f>+G300+G301+G302+G303+G304+G305+G306</f>
        <v>0</v>
      </c>
      <c r="H299" s="52">
        <f>+H300+H301+H302+H303+H304+H305+H306</f>
        <v>661677.5</v>
      </c>
      <c r="I299" s="52">
        <f>+I300+I301+I302+I303+I304+I305+I306</f>
        <v>0</v>
      </c>
      <c r="J299" s="52">
        <f>+J300+J301+J302+J303+J304+J305+J306</f>
        <v>661677.5</v>
      </c>
      <c r="K299" s="94">
        <f>+K300+K301+K302+K303+K304+K305+K306</f>
        <v>1.738332777780469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267</v>
      </c>
      <c r="F300" s="35" t="s">
        <v>193</v>
      </c>
      <c r="G300" s="36"/>
      <c r="H300" s="36">
        <v>316998</v>
      </c>
      <c r="I300" s="36"/>
      <c r="J300" s="36">
        <f aca="true" t="shared" si="16" ref="J300:J306">SUBTOTAL(9,G300:I300)</f>
        <v>316998</v>
      </c>
      <c r="K300" s="83">
        <f aca="true" t="shared" si="17" ref="K300:K306">_xlfn.IFERROR(J300/$J$19*100,"0.00")</f>
        <v>0.8328045216753677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268</v>
      </c>
      <c r="F301" s="35" t="s">
        <v>194</v>
      </c>
      <c r="G301" s="36"/>
      <c r="H301" s="36">
        <v>270750</v>
      </c>
      <c r="I301" s="36"/>
      <c r="J301" s="36">
        <f t="shared" si="16"/>
        <v>270750</v>
      </c>
      <c r="K301" s="83">
        <f t="shared" si="17"/>
        <v>0.7113036178259982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269</v>
      </c>
      <c r="F302" s="35" t="s">
        <v>195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270</v>
      </c>
      <c r="F303" s="35" t="s">
        <v>196</v>
      </c>
      <c r="G303" s="36"/>
      <c r="H303" s="36">
        <v>73929.5</v>
      </c>
      <c r="I303" s="36"/>
      <c r="J303" s="36">
        <f t="shared" si="16"/>
        <v>73929.5</v>
      </c>
      <c r="K303" s="83">
        <f t="shared" si="17"/>
        <v>0.194224638279103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274</v>
      </c>
      <c r="F304" s="35" t="s">
        <v>197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198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199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267</v>
      </c>
      <c r="F308" s="35" t="s">
        <v>200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268</v>
      </c>
      <c r="F309" s="35" t="s">
        <v>201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269</v>
      </c>
      <c r="F310" s="35" t="s">
        <v>202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270</v>
      </c>
      <c r="F311" s="35" t="s">
        <v>203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274</v>
      </c>
      <c r="F312" s="35" t="s">
        <v>204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326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267</v>
      </c>
      <c r="F316" s="39" t="s">
        <v>327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267</v>
      </c>
      <c r="F318" s="39" t="s">
        <v>328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1907949.3499999999</v>
      </c>
      <c r="I319" s="63">
        <f>+I320+I322+I324+I326+I328+I330+I332+I334+I336</f>
        <v>0</v>
      </c>
      <c r="J319" s="63">
        <f>+J320+J322+J324+J326+J328+J330+J332+J334+J336</f>
        <v>1907949.3499999999</v>
      </c>
      <c r="K319" s="92">
        <f>+K320+K322+K324+K326+K328+K330+K332+K334+K336</f>
        <v>5.012488551371234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205</v>
      </c>
      <c r="G320" s="52">
        <f>+G321</f>
        <v>0</v>
      </c>
      <c r="H320" s="52">
        <f>+H321</f>
        <v>200</v>
      </c>
      <c r="I320" s="52">
        <f>+I321</f>
        <v>0</v>
      </c>
      <c r="J320" s="52">
        <f>+J321</f>
        <v>200</v>
      </c>
      <c r="K320" s="94">
        <f>+K321</f>
        <v>0.0005254320353285305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267</v>
      </c>
      <c r="F321" s="35" t="s">
        <v>205</v>
      </c>
      <c r="G321" s="36"/>
      <c r="H321" s="36">
        <v>200</v>
      </c>
      <c r="I321" s="36"/>
      <c r="J321" s="36">
        <f>SUBTOTAL(9,G321:I321)</f>
        <v>200</v>
      </c>
      <c r="K321" s="83">
        <f>_xlfn.IFERROR(J321/$J$19*100,"0.00")</f>
        <v>0.0005254320353285305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206</v>
      </c>
      <c r="G322" s="52">
        <f>+G323</f>
        <v>0</v>
      </c>
      <c r="H322" s="52">
        <f>+H323</f>
        <v>0</v>
      </c>
      <c r="I322" s="52">
        <f>+I323</f>
        <v>0</v>
      </c>
      <c r="J322" s="52">
        <f>+J323</f>
        <v>0</v>
      </c>
      <c r="K322" s="94">
        <f>+K323</f>
        <v>0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267</v>
      </c>
      <c r="F323" s="35" t="s">
        <v>206</v>
      </c>
      <c r="G323" s="36"/>
      <c r="H323" s="36"/>
      <c r="I323" s="36"/>
      <c r="J323" s="36">
        <f>SUBTOTAL(9,G323:I323)</f>
        <v>0</v>
      </c>
      <c r="K323" s="83">
        <f>_xlfn.IFERROR(J323/$J$19*100,"0.00")</f>
        <v>0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1662794.24</v>
      </c>
      <c r="I324" s="52">
        <f>+I325</f>
        <v>0</v>
      </c>
      <c r="J324" s="52">
        <f>+J325</f>
        <v>1662794.24</v>
      </c>
      <c r="K324" s="94">
        <f>+K325</f>
        <v>4.368426809278785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267</v>
      </c>
      <c r="F325" s="35" t="s">
        <v>329</v>
      </c>
      <c r="G325" s="36"/>
      <c r="H325" s="36">
        <v>1662794.24</v>
      </c>
      <c r="I325" s="36"/>
      <c r="J325" s="36">
        <f>SUBTOTAL(9,G325:I325)</f>
        <v>1662794.24</v>
      </c>
      <c r="K325" s="83">
        <f>_xlfn.IFERROR(J325/$J$19*100,"0.00")</f>
        <v>4.368426809278785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207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267</v>
      </c>
      <c r="F327" s="35" t="s">
        <v>207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208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267</v>
      </c>
      <c r="F329" s="35" t="s">
        <v>208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209</v>
      </c>
      <c r="G330" s="52">
        <f>+G331</f>
        <v>0</v>
      </c>
      <c r="H330" s="52">
        <f>+H331</f>
        <v>241454.89</v>
      </c>
      <c r="I330" s="52">
        <f>+I331</f>
        <v>0</v>
      </c>
      <c r="J330" s="52">
        <f>+J331</f>
        <v>241454.89</v>
      </c>
      <c r="K330" s="94">
        <f>+K331</f>
        <v>0.6343406714636324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267</v>
      </c>
      <c r="F331" s="35" t="s">
        <v>209</v>
      </c>
      <c r="G331" s="36"/>
      <c r="H331" s="36">
        <f>139054.29+102400.6</f>
        <v>241454.89</v>
      </c>
      <c r="I331" s="36"/>
      <c r="J331" s="36">
        <f>SUBTOTAL(9,G331:I331)</f>
        <v>241454.89</v>
      </c>
      <c r="K331" s="83">
        <f>_xlfn.IFERROR(J331/$J$19*100,"0.00")</f>
        <v>0.6343406714636324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267</v>
      </c>
      <c r="F333" s="35" t="s">
        <v>330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210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267</v>
      </c>
      <c r="F335" s="35" t="s">
        <v>210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211</v>
      </c>
      <c r="G336" s="52">
        <f>+G337</f>
        <v>0</v>
      </c>
      <c r="H336" s="52">
        <f>+H337</f>
        <v>3500.22</v>
      </c>
      <c r="I336" s="52">
        <f>+I337</f>
        <v>0</v>
      </c>
      <c r="J336" s="52">
        <f>+J337</f>
        <v>3500.22</v>
      </c>
      <c r="K336" s="94">
        <f>+K337</f>
        <v>0.009195638593488145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267</v>
      </c>
      <c r="F337" s="35" t="s">
        <v>211</v>
      </c>
      <c r="G337" s="36"/>
      <c r="H337" s="36">
        <v>3500.22</v>
      </c>
      <c r="I337" s="36"/>
      <c r="J337" s="36">
        <f>SUBTOTAL(9,G337:I337)</f>
        <v>3500.22</v>
      </c>
      <c r="K337" s="83">
        <f>_xlfn.IFERROR(J337/$J$19*100,"0.00")</f>
        <v>0.009195638593488145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331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332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267</v>
      </c>
      <c r="F341" s="113" t="s">
        <v>334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268</v>
      </c>
      <c r="F342" s="113" t="s">
        <v>335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269</v>
      </c>
      <c r="F343" s="113" t="s">
        <v>336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267</v>
      </c>
      <c r="F345" s="113" t="s">
        <v>338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268</v>
      </c>
      <c r="F346" s="113" t="s">
        <v>339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269</v>
      </c>
      <c r="F347" s="113" t="s">
        <v>340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267</v>
      </c>
      <c r="F349" s="117" t="s">
        <v>342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268</v>
      </c>
      <c r="F350" s="113" t="s">
        <v>343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267</v>
      </c>
      <c r="F352" s="113" t="s">
        <v>344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267</v>
      </c>
      <c r="F354" s="113" t="s">
        <v>346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347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267</v>
      </c>
      <c r="F357" s="113" t="s">
        <v>349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12.7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0.25">
      <c r="A359" s="119">
        <v>2</v>
      </c>
      <c r="B359" s="112">
        <v>4</v>
      </c>
      <c r="C359" s="112">
        <v>2</v>
      </c>
      <c r="D359" s="112">
        <v>2</v>
      </c>
      <c r="E359" s="112" t="s">
        <v>267</v>
      </c>
      <c r="F359" s="113" t="s">
        <v>351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12.75">
      <c r="A360" s="119">
        <v>2</v>
      </c>
      <c r="B360" s="112">
        <v>4</v>
      </c>
      <c r="C360" s="112">
        <v>2</v>
      </c>
      <c r="D360" s="112">
        <v>2</v>
      </c>
      <c r="E360" s="112" t="s">
        <v>268</v>
      </c>
      <c r="F360" s="113" t="s">
        <v>352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0.25">
      <c r="A361" s="119">
        <v>2</v>
      </c>
      <c r="B361" s="112">
        <v>4</v>
      </c>
      <c r="C361" s="112">
        <v>2</v>
      </c>
      <c r="D361" s="112">
        <v>2</v>
      </c>
      <c r="E361" s="112" t="s">
        <v>269</v>
      </c>
      <c r="F361" s="113" t="s">
        <v>353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0.25">
      <c r="A363" s="119">
        <v>2</v>
      </c>
      <c r="B363" s="112">
        <v>4</v>
      </c>
      <c r="C363" s="112">
        <v>2</v>
      </c>
      <c r="D363" s="112">
        <v>3</v>
      </c>
      <c r="E363" s="112" t="s">
        <v>267</v>
      </c>
      <c r="F363" s="113" t="s">
        <v>355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268</v>
      </c>
      <c r="F364" s="113" t="s">
        <v>356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0.25">
      <c r="A365" s="119">
        <v>2</v>
      </c>
      <c r="B365" s="112">
        <v>4</v>
      </c>
      <c r="C365" s="112">
        <v>2</v>
      </c>
      <c r="D365" s="112">
        <v>3</v>
      </c>
      <c r="E365" s="112" t="s">
        <v>269</v>
      </c>
      <c r="F365" s="113" t="s">
        <v>357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358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0.25">
      <c r="A368" s="119">
        <v>2</v>
      </c>
      <c r="B368" s="112">
        <v>4</v>
      </c>
      <c r="C368" s="112">
        <v>4</v>
      </c>
      <c r="D368" s="112">
        <v>1</v>
      </c>
      <c r="E368" s="112" t="s">
        <v>267</v>
      </c>
      <c r="F368" s="113" t="s">
        <v>360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12.75">
      <c r="A369" s="119">
        <v>2</v>
      </c>
      <c r="B369" s="112">
        <v>4</v>
      </c>
      <c r="C369" s="112">
        <v>4</v>
      </c>
      <c r="D369" s="112">
        <v>1</v>
      </c>
      <c r="E369" s="112" t="s">
        <v>268</v>
      </c>
      <c r="F369" s="113" t="s">
        <v>361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0.25">
      <c r="A370" s="119">
        <v>2</v>
      </c>
      <c r="B370" s="112">
        <v>4</v>
      </c>
      <c r="C370" s="112">
        <v>4</v>
      </c>
      <c r="D370" s="112">
        <v>1</v>
      </c>
      <c r="E370" s="112" t="s">
        <v>269</v>
      </c>
      <c r="F370" s="113" t="s">
        <v>362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363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267</v>
      </c>
      <c r="F373" s="113" t="s">
        <v>364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267</v>
      </c>
      <c r="F375" s="113" t="s">
        <v>365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267</v>
      </c>
      <c r="F377" s="113" t="s">
        <v>366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267</v>
      </c>
      <c r="F379" s="113" t="s">
        <v>367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368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0.2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267</v>
      </c>
      <c r="F382" s="113" t="s">
        <v>370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267</v>
      </c>
      <c r="F384" s="113" t="s">
        <v>372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267</v>
      </c>
      <c r="F386" s="113" t="s">
        <v>373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374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267</v>
      </c>
      <c r="F389" s="113" t="s">
        <v>374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267</v>
      </c>
      <c r="F391" s="113" t="s">
        <v>375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267</v>
      </c>
      <c r="F393" s="113" t="s">
        <v>376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267</v>
      </c>
      <c r="F395" s="113" t="s">
        <v>377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378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379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267</v>
      </c>
      <c r="F398" s="117" t="s">
        <v>380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267</v>
      </c>
      <c r="F400" s="113" t="s">
        <v>381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267</v>
      </c>
      <c r="F402" s="113" t="s">
        <v>382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213</v>
      </c>
      <c r="G403" s="70">
        <f>+G404+G415+G424+G433+G440+G455+G460+G479</f>
        <v>0</v>
      </c>
      <c r="H403" s="70">
        <f>+H404+H415+H424+H433+H440+H455+H460+H479</f>
        <v>105615.89</v>
      </c>
      <c r="I403" s="70">
        <f>+I404+I415+I424+I433+I440+I455+I460+I479</f>
        <v>0</v>
      </c>
      <c r="J403" s="70">
        <f>+J404+J415+J424+J433+J440+J455+J460+J479</f>
        <v>105615.89</v>
      </c>
      <c r="K403" s="91">
        <f>+K404+K415+K424+K433+K440+K455+K460+K479</f>
        <v>0.277469860228671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214</v>
      </c>
      <c r="G404" s="63">
        <f>+G405+G407+G409+G411+G413</f>
        <v>0</v>
      </c>
      <c r="H404" s="63">
        <f>+H405+H407+H409+H411+H413</f>
        <v>36995.53</v>
      </c>
      <c r="I404" s="63">
        <f>+I405+I407+I409+I411+I413</f>
        <v>0</v>
      </c>
      <c r="J404" s="63">
        <f>+J405+J407+J409+J411+J413</f>
        <v>36995.53</v>
      </c>
      <c r="K404" s="92">
        <f>+K405+K407+K409+K411+K413</f>
        <v>0.09719318312978856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215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267</v>
      </c>
      <c r="F406" s="41" t="s">
        <v>215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267</v>
      </c>
      <c r="F408" s="41" t="s">
        <v>383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36995.53</v>
      </c>
      <c r="I409" s="52">
        <f>+I410</f>
        <v>0</v>
      </c>
      <c r="J409" s="52">
        <f>+J410</f>
        <v>36995.53</v>
      </c>
      <c r="K409" s="94">
        <f>+K410</f>
        <v>0.09719318312978856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267</v>
      </c>
      <c r="F410" s="41" t="s">
        <v>384</v>
      </c>
      <c r="G410" s="47"/>
      <c r="H410" s="47">
        <v>36995.53</v>
      </c>
      <c r="I410" s="47"/>
      <c r="J410" s="36">
        <f>SUBTOTAL(9,G410:I410)</f>
        <v>36995.53</v>
      </c>
      <c r="K410" s="83">
        <f>_xlfn.IFERROR(J410/$J$19*100,"0.00")</f>
        <v>0.09719318312978856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267</v>
      </c>
      <c r="F412" s="41" t="s">
        <v>385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216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267</v>
      </c>
      <c r="F414" s="41" t="s">
        <v>216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217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267</v>
      </c>
      <c r="F417" s="41" t="s">
        <v>386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218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267</v>
      </c>
      <c r="F419" s="41" t="s">
        <v>218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219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267</v>
      </c>
      <c r="F421" s="41" t="s">
        <v>219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220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267</v>
      </c>
      <c r="F423" s="41" t="s">
        <v>220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221</v>
      </c>
      <c r="G424" s="63">
        <f>+G425+G427+G429+G431</f>
        <v>0</v>
      </c>
      <c r="H424" s="63">
        <f>+H425+H427+H429+H431</f>
        <v>53930.36</v>
      </c>
      <c r="I424" s="63">
        <f>+I425+I427+I429+I431</f>
        <v>0</v>
      </c>
      <c r="J424" s="63">
        <f>+J425+J427+J429+J431</f>
        <v>53930.36</v>
      </c>
      <c r="K424" s="92">
        <f>+K425+K427+K429+K431</f>
        <v>0.14168369410400186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222</v>
      </c>
      <c r="G425" s="52">
        <f>+G426</f>
        <v>0</v>
      </c>
      <c r="H425" s="52">
        <f>+H426</f>
        <v>53930.36</v>
      </c>
      <c r="I425" s="52">
        <f>+I426</f>
        <v>0</v>
      </c>
      <c r="J425" s="52">
        <f>+J426</f>
        <v>53930.36</v>
      </c>
      <c r="K425" s="94">
        <f>+K426</f>
        <v>0.14168369410400186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267</v>
      </c>
      <c r="F426" s="35" t="s">
        <v>222</v>
      </c>
      <c r="G426" s="47"/>
      <c r="H426" s="47">
        <v>53930.36</v>
      </c>
      <c r="I426" s="47"/>
      <c r="J426" s="36">
        <f>SUBTOTAL(9,G426:I426)</f>
        <v>53930.36</v>
      </c>
      <c r="K426" s="83">
        <f>_xlfn.IFERROR(J426/$J$19*100,"0.00")</f>
        <v>0.14168369410400186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223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267</v>
      </c>
      <c r="F428" s="41" t="s">
        <v>223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224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267</v>
      </c>
      <c r="F430" s="41" t="s">
        <v>224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225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267</v>
      </c>
      <c r="F432" s="41" t="s">
        <v>225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226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227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267</v>
      </c>
      <c r="F435" s="41" t="s">
        <v>227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228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267</v>
      </c>
      <c r="F437" s="41" t="s">
        <v>228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229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267</v>
      </c>
      <c r="F439" s="41" t="s">
        <v>229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230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231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267</v>
      </c>
      <c r="F442" s="41" t="s">
        <v>231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232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267</v>
      </c>
      <c r="F444" s="41" t="s">
        <v>232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233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267</v>
      </c>
      <c r="F446" s="41" t="s">
        <v>233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234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267</v>
      </c>
      <c r="F448" s="41" t="s">
        <v>234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235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267</v>
      </c>
      <c r="F450" s="41" t="s">
        <v>235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236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267</v>
      </c>
      <c r="F452" s="41" t="s">
        <v>236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237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267</v>
      </c>
      <c r="F454" s="41" t="s">
        <v>237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387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388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267</v>
      </c>
      <c r="F457" s="41" t="s">
        <v>388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389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267</v>
      </c>
      <c r="F459" s="41" t="s">
        <v>389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238</v>
      </c>
      <c r="G460" s="63">
        <f>+G461+G463+G466+G468+G470+G472+G477</f>
        <v>0</v>
      </c>
      <c r="H460" s="63">
        <f>+H461+H463+H466+H468+H470+H472+H477</f>
        <v>14690</v>
      </c>
      <c r="I460" s="63">
        <f>+I461+I463+I466+I468+I470+I472+I477</f>
        <v>0</v>
      </c>
      <c r="J460" s="63">
        <f>+J461+J463+J466+J468+J470+J472+J477</f>
        <v>14690</v>
      </c>
      <c r="K460" s="92">
        <f>+K461+K463+K466+K468+K470+K472+K477</f>
        <v>0.038592982994880565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239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267</v>
      </c>
      <c r="F462" s="41" t="s">
        <v>239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240</v>
      </c>
      <c r="G463" s="52">
        <f>+G464+G465</f>
        <v>0</v>
      </c>
      <c r="H463" s="52">
        <f>+H464+H465</f>
        <v>14690</v>
      </c>
      <c r="I463" s="52">
        <f>+I464+I465</f>
        <v>0</v>
      </c>
      <c r="J463" s="52">
        <f>+J464+J465</f>
        <v>14690</v>
      </c>
      <c r="K463" s="94">
        <f>+K464+K465</f>
        <v>0.038592982994880565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267</v>
      </c>
      <c r="F464" s="41" t="s">
        <v>241</v>
      </c>
      <c r="G464" s="36"/>
      <c r="H464" s="36">
        <v>14690</v>
      </c>
      <c r="I464" s="36"/>
      <c r="J464" s="36">
        <f>SUBTOTAL(9,G464:I464)</f>
        <v>14690</v>
      </c>
      <c r="K464" s="83">
        <f>_xlfn.IFERROR(J464/$J$19*100,"0.00")</f>
        <v>0.038592982994880565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268</v>
      </c>
      <c r="F465" s="41" t="s">
        <v>242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243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267</v>
      </c>
      <c r="F467" s="41" t="s">
        <v>243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244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267</v>
      </c>
      <c r="F469" s="41" t="s">
        <v>244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245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267</v>
      </c>
      <c r="F471" s="41" t="s">
        <v>245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246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267</v>
      </c>
      <c r="F473" s="41" t="s">
        <v>247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268</v>
      </c>
      <c r="F474" s="41" t="s">
        <v>248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269</v>
      </c>
      <c r="F475" s="41" t="s">
        <v>249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270</v>
      </c>
      <c r="F476" s="41" t="s">
        <v>250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251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267</v>
      </c>
      <c r="F478" s="41" t="s">
        <v>251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390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391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267</v>
      </c>
      <c r="F481" s="41" t="s">
        <v>391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392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267</v>
      </c>
      <c r="F483" s="41" t="s">
        <v>392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393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267</v>
      </c>
      <c r="F485" s="41" t="s">
        <v>393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212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252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253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267</v>
      </c>
      <c r="F489" s="41" t="s">
        <v>253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254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267</v>
      </c>
      <c r="F491" s="41" t="s">
        <v>254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255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267</v>
      </c>
      <c r="F493" s="41" t="s">
        <v>255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256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267</v>
      </c>
      <c r="F495" s="41" t="s">
        <v>256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394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267</v>
      </c>
      <c r="F497" s="41" t="s">
        <v>394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257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258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267</v>
      </c>
      <c r="F500" s="41" t="s">
        <v>258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259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267</v>
      </c>
      <c r="F502" s="41" t="s">
        <v>259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260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267</v>
      </c>
      <c r="F504" s="41" t="s">
        <v>260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261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267</v>
      </c>
      <c r="F506" s="41" t="s">
        <v>261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262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267</v>
      </c>
      <c r="F508" s="41" t="s">
        <v>262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263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267</v>
      </c>
      <c r="F510" s="41" t="s">
        <v>263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264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265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267</v>
      </c>
      <c r="F513" s="41" t="s">
        <v>265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266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267</v>
      </c>
      <c r="F515" s="86" t="s">
        <v>266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horizontalDpi="600" verticalDpi="600" orientation="landscape" paperSize="7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3" max="3" width="17.7109375" style="0" customWidth="1"/>
    <col min="7" max="7" width="15.7109375" style="0" customWidth="1"/>
  </cols>
  <sheetData>
    <row r="1" spans="1:11" s="1" customFormat="1" ht="15.75">
      <c r="A1" s="6" t="s">
        <v>283</v>
      </c>
      <c r="B1" s="7"/>
      <c r="C1" s="7"/>
      <c r="D1" s="7"/>
      <c r="E1" s="7"/>
      <c r="F1" s="12"/>
      <c r="G1" s="12"/>
      <c r="H1" s="19"/>
      <c r="I1" s="19"/>
      <c r="J1" s="124" t="s">
        <v>395</v>
      </c>
      <c r="K1" s="125"/>
    </row>
    <row r="2" spans="1:11" s="1" customFormat="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s="1" customFormat="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s="1" customFormat="1" ht="15.75" customHeight="1">
      <c r="A4" s="8" t="s">
        <v>280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s="1" customFormat="1" ht="15.75" customHeight="1">
      <c r="A5" s="8" t="s">
        <v>396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s="1" customFormat="1" ht="14.2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s="1" customFormat="1" ht="14.25">
      <c r="A7" s="13" t="s">
        <v>286</v>
      </c>
      <c r="B7" s="14"/>
      <c r="C7" s="14"/>
      <c r="D7" s="14"/>
      <c r="E7" s="14"/>
      <c r="F7" s="14"/>
      <c r="G7" s="14" t="s">
        <v>398</v>
      </c>
      <c r="H7" s="25"/>
      <c r="I7" s="25"/>
      <c r="J7" s="25"/>
      <c r="K7" s="26"/>
    </row>
    <row r="8" spans="1:11" s="1" customFormat="1" ht="14.2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s="1" customFormat="1" ht="15.75" customHeight="1">
      <c r="A9" s="29" t="s">
        <v>30</v>
      </c>
      <c r="B9" s="30"/>
      <c r="C9" s="30"/>
      <c r="D9" s="30"/>
      <c r="E9" s="30"/>
      <c r="F9" s="30" t="s">
        <v>397</v>
      </c>
      <c r="G9" s="123">
        <v>14527598.97</v>
      </c>
      <c r="H9" s="30"/>
      <c r="I9" s="30"/>
      <c r="J9" s="30"/>
      <c r="K9" s="31"/>
    </row>
    <row r="10" spans="1:11" s="1" customFormat="1" ht="13.5">
      <c r="A10" s="78" t="s">
        <v>281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s="1" customFormat="1" ht="13.5">
      <c r="A11" s="78" t="s">
        <v>28</v>
      </c>
      <c r="B11" s="3"/>
      <c r="C11" s="3"/>
      <c r="D11" s="3"/>
      <c r="E11" s="79"/>
      <c r="F11" s="80"/>
      <c r="G11" s="120">
        <v>15851168.65</v>
      </c>
      <c r="H11" s="77"/>
      <c r="I11" s="77"/>
      <c r="J11" s="77"/>
      <c r="K11" s="81"/>
    </row>
    <row r="12" spans="1:11" s="1" customFormat="1" ht="13.5">
      <c r="A12" s="78" t="s">
        <v>282</v>
      </c>
      <c r="B12" s="3"/>
      <c r="C12" s="3"/>
      <c r="D12" s="3"/>
      <c r="E12" s="79"/>
      <c r="F12" s="80"/>
      <c r="G12" s="120">
        <v>22912744.57</v>
      </c>
      <c r="H12" s="77"/>
      <c r="I12" s="77"/>
      <c r="J12" s="77"/>
      <c r="K12" s="81"/>
    </row>
    <row r="13" spans="1:11" s="1" customFormat="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s="1" customFormat="1" ht="13.5">
      <c r="A14" s="82" t="s">
        <v>34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s="1" customFormat="1" ht="14.25" thickBot="1">
      <c r="A15" s="71" t="s">
        <v>36</v>
      </c>
      <c r="B15" s="72"/>
      <c r="C15" s="72"/>
      <c r="D15" s="72"/>
      <c r="E15" s="73"/>
      <c r="F15" s="74"/>
      <c r="G15" s="122">
        <f>SUM(G9:G14)</f>
        <v>53291512.19</v>
      </c>
      <c r="H15" s="75"/>
      <c r="I15" s="75"/>
      <c r="J15" s="75"/>
      <c r="K15" s="76"/>
    </row>
    <row r="16" ht="13.5" thickTop="1"/>
  </sheetData>
  <sheetProtection/>
  <mergeCells count="1">
    <mergeCell ref="J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Nelson Monegro</cp:lastModifiedBy>
  <cp:lastPrinted>2017-04-03T17:56:20Z</cp:lastPrinted>
  <dcterms:created xsi:type="dcterms:W3CDTF">2007-07-31T17:41:49Z</dcterms:created>
  <dcterms:modified xsi:type="dcterms:W3CDTF">2017-04-06T15:26:27Z</dcterms:modified>
  <cp:category/>
  <cp:version/>
  <cp:contentType/>
  <cp:contentStatus/>
</cp:coreProperties>
</file>